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00" windowHeight="7110" activeTab="10"/>
  </bookViews>
  <sheets>
    <sheet name="на 01.02.18" sheetId="1" r:id="rId1"/>
    <sheet name="на 01.03.18" sheetId="2" r:id="rId2"/>
    <sheet name="на 01.04.18 " sheetId="3" r:id="rId3"/>
    <sheet name="на 01.05.18" sheetId="4" r:id="rId4"/>
    <sheet name="на 01.06.18" sheetId="5" r:id="rId5"/>
    <sheet name="на 01.07.18" sheetId="6" r:id="rId6"/>
    <sheet name="на 01.08.18" sheetId="7" r:id="rId7"/>
    <sheet name="на 01.09.18" sheetId="8" r:id="rId8"/>
    <sheet name="на 01.10.18" sheetId="9" r:id="rId9"/>
    <sheet name="на 01.11.18" sheetId="10" r:id="rId10"/>
    <sheet name="на 01.12.2018" sheetId="11" r:id="rId11"/>
  </sheets>
  <definedNames/>
  <calcPr fullCalcOnLoad="1"/>
</workbook>
</file>

<file path=xl/sharedStrings.xml><?xml version="1.0" encoding="utf-8"?>
<sst xmlns="http://schemas.openxmlformats.org/spreadsheetml/2006/main" count="572" uniqueCount="52">
  <si>
    <t>Налог на доходы физических лиц</t>
  </si>
  <si>
    <t>Единый налог на вмененный доход</t>
  </si>
  <si>
    <t xml:space="preserve">Единый сельскохозяйственный налог </t>
  </si>
  <si>
    <t>Госпошлина</t>
  </si>
  <si>
    <t>Доходы от сдачи в аренду имущ.</t>
  </si>
  <si>
    <t>Плата за негатив.воз.на окр.среду</t>
  </si>
  <si>
    <t>Доходы от продажи квартир</t>
  </si>
  <si>
    <t>Штрафные санкции</t>
  </si>
  <si>
    <t>Земельный налог</t>
  </si>
  <si>
    <t>Прочие неналоговые доходы</t>
  </si>
  <si>
    <t>Невыясненные поступления</t>
  </si>
  <si>
    <t>Прочие безвозмездные поступления</t>
  </si>
  <si>
    <t>НАЛОГИ</t>
  </si>
  <si>
    <t>Доходы от  аренды земли</t>
  </si>
  <si>
    <t>ИТОГО ДОХОДОВ</t>
  </si>
  <si>
    <t>ВСЕГО ДОХОДОВ</t>
  </si>
  <si>
    <t>Налог на имущество физ. лиц</t>
  </si>
  <si>
    <t>Доходы от продажи земельных участков</t>
  </si>
  <si>
    <t>Транспортный налог организаций</t>
  </si>
  <si>
    <t>Транспортный налог физ.лиц</t>
  </si>
  <si>
    <t>Доходы от оказания платных услуг</t>
  </si>
  <si>
    <t>Дотации на выравнивание уровня бюджетной обеспеченности</t>
  </si>
  <si>
    <t>Налог, взимаемый в связи с прим патентной системы налогообл.</t>
  </si>
  <si>
    <t>Акцизы</t>
  </si>
  <si>
    <t>Прочие поступления от использования имущества</t>
  </si>
  <si>
    <t>муниципальный район</t>
  </si>
  <si>
    <t>городские поселения</t>
  </si>
  <si>
    <t xml:space="preserve"> Исполнение к году в %</t>
  </si>
  <si>
    <t>сельские поселения</t>
  </si>
  <si>
    <t>Доходы от реализ.имущ.нах. в соб.</t>
  </si>
  <si>
    <t>Возврат остатков субсидий, субвенций+ дох. Бюд</t>
  </si>
  <si>
    <t>Итого безвозм. поступлений</t>
  </si>
  <si>
    <t>Субвенции, субсидии, ИМТ от других бюджетов бюджетной системы РФ</t>
  </si>
  <si>
    <t>Прочие налоги и сборы</t>
  </si>
  <si>
    <t>Фактическое исполнение</t>
  </si>
  <si>
    <t xml:space="preserve">Отклонение </t>
  </si>
  <si>
    <t>Н.А. Мальцева</t>
  </si>
  <si>
    <t xml:space="preserve">              Сводка по поступлению доходов в бюджет Добрянского муниципального района на 1 февраля 2018 г.</t>
  </si>
  <si>
    <t xml:space="preserve">План доходов на 2018г. </t>
  </si>
  <si>
    <t xml:space="preserve">              Сводка по поступлению доходов в бюджет Добрянского муниципального района на 1 марта 2018 г.</t>
  </si>
  <si>
    <t xml:space="preserve">              Сводка по поступлению доходов в бюджет Добрянского муниципального района на 1апреля 2018 г.</t>
  </si>
  <si>
    <t>Т.А. Ярославцева</t>
  </si>
  <si>
    <t xml:space="preserve">              Сводка по поступлению доходов в бюджет Добрянского муниципального района на 1 мая 2018 г.</t>
  </si>
  <si>
    <t xml:space="preserve">              Сводка по поступлению доходов в бюджет Добрянского муниципального района на 1 июня 2018 г.</t>
  </si>
  <si>
    <t>Т.А.Ярославцева</t>
  </si>
  <si>
    <t xml:space="preserve">              Сводка по поступлению доходов в бюджет Добрянского муниципального района на 1 июля 2018 г.</t>
  </si>
  <si>
    <t xml:space="preserve">              Сводка по поступлению доходов в бюджет Добрянского муниципального района на 1 августа 2018 г.</t>
  </si>
  <si>
    <t xml:space="preserve">              Сводка по поступлению доходов в бюджет Добрянского муниципального района на 1 сентября 2018 г.</t>
  </si>
  <si>
    <t xml:space="preserve">              Сводка по поступлению доходов в бюджет Добрянского муниципального района на 1 октября 2018 г.</t>
  </si>
  <si>
    <t xml:space="preserve">              Сводка по поступлению доходов в бюджет Добрянского муниципального района на 1ноября 2018 г.</t>
  </si>
  <si>
    <t>Возврат остатков субсидий, субвенций+ дох. бюд</t>
  </si>
  <si>
    <t xml:space="preserve">              Сводка по поступлению доходов в бюджет Добрянского муниципального района на 1 декабря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</si>
</sst>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00"/>
    <numFmt numFmtId="167" formatCode="0.00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6"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178" fontId="3" fillId="33" borderId="10" xfId="0" applyNumberFormat="1" applyFont="1" applyFill="1" applyBorder="1" applyAlignment="1">
      <alignment vertical="top"/>
    </xf>
    <xf numFmtId="178" fontId="3" fillId="33" borderId="17" xfId="0" applyNumberFormat="1" applyFont="1" applyFill="1" applyBorder="1" applyAlignment="1">
      <alignment vertical="top"/>
    </xf>
    <xf numFmtId="178" fontId="3" fillId="33" borderId="18" xfId="0" applyNumberFormat="1" applyFont="1" applyFill="1" applyBorder="1" applyAlignment="1">
      <alignment vertical="top"/>
    </xf>
    <xf numFmtId="178" fontId="4" fillId="33" borderId="11" xfId="0" applyNumberFormat="1" applyFont="1" applyFill="1" applyBorder="1" applyAlignment="1">
      <alignment vertical="top"/>
    </xf>
    <xf numFmtId="178" fontId="3" fillId="33" borderId="19" xfId="0" applyNumberFormat="1" applyFont="1" applyFill="1" applyBorder="1" applyAlignment="1">
      <alignment vertical="top"/>
    </xf>
    <xf numFmtId="178" fontId="3" fillId="34" borderId="10" xfId="0" applyNumberFormat="1" applyFont="1" applyFill="1" applyBorder="1" applyAlignment="1">
      <alignment vertical="top"/>
    </xf>
    <xf numFmtId="178" fontId="3" fillId="34" borderId="17" xfId="0" applyNumberFormat="1" applyFont="1" applyFill="1" applyBorder="1" applyAlignment="1">
      <alignment vertical="top"/>
    </xf>
    <xf numFmtId="178" fontId="4" fillId="34" borderId="20" xfId="0" applyNumberFormat="1" applyFont="1" applyFill="1" applyBorder="1" applyAlignment="1">
      <alignment vertical="top" wrapText="1"/>
    </xf>
    <xf numFmtId="178" fontId="3" fillId="34" borderId="18" xfId="0" applyNumberFormat="1" applyFont="1" applyFill="1" applyBorder="1" applyAlignment="1">
      <alignment vertical="top"/>
    </xf>
    <xf numFmtId="178" fontId="4" fillId="34" borderId="11" xfId="0" applyNumberFormat="1" applyFont="1" applyFill="1" applyBorder="1" applyAlignment="1">
      <alignment vertical="top"/>
    </xf>
    <xf numFmtId="178" fontId="3" fillId="34" borderId="19" xfId="0" applyNumberFormat="1" applyFont="1" applyFill="1" applyBorder="1" applyAlignment="1">
      <alignment vertical="top"/>
    </xf>
    <xf numFmtId="178" fontId="45" fillId="34" borderId="10" xfId="0" applyNumberFormat="1" applyFont="1" applyFill="1" applyBorder="1" applyAlignment="1">
      <alignment vertical="top"/>
    </xf>
    <xf numFmtId="178" fontId="4" fillId="34" borderId="11" xfId="0" applyNumberFormat="1" applyFont="1" applyFill="1" applyBorder="1" applyAlignment="1">
      <alignment vertical="top" wrapText="1"/>
    </xf>
    <xf numFmtId="178" fontId="4" fillId="34" borderId="21" xfId="0" applyNumberFormat="1" applyFont="1" applyFill="1" applyBorder="1" applyAlignment="1">
      <alignment vertical="top"/>
    </xf>
    <xf numFmtId="178" fontId="3" fillId="35" borderId="10" xfId="0" applyNumberFormat="1" applyFont="1" applyFill="1" applyBorder="1" applyAlignment="1">
      <alignment vertical="top"/>
    </xf>
    <xf numFmtId="178" fontId="3" fillId="35" borderId="17" xfId="0" applyNumberFormat="1" applyFont="1" applyFill="1" applyBorder="1" applyAlignment="1">
      <alignment vertical="top"/>
    </xf>
    <xf numFmtId="178" fontId="4" fillId="35" borderId="20" xfId="0" applyNumberFormat="1" applyFont="1" applyFill="1" applyBorder="1" applyAlignment="1">
      <alignment vertical="top" wrapText="1"/>
    </xf>
    <xf numFmtId="178" fontId="3" fillId="35" borderId="18" xfId="0" applyNumberFormat="1" applyFont="1" applyFill="1" applyBorder="1" applyAlignment="1">
      <alignment vertical="top"/>
    </xf>
    <xf numFmtId="178" fontId="4" fillId="35" borderId="11" xfId="0" applyNumberFormat="1" applyFont="1" applyFill="1" applyBorder="1" applyAlignment="1">
      <alignment vertical="top"/>
    </xf>
    <xf numFmtId="178" fontId="3" fillId="35" borderId="19" xfId="0" applyNumberFormat="1" applyFont="1" applyFill="1" applyBorder="1" applyAlignment="1">
      <alignment vertical="top"/>
    </xf>
    <xf numFmtId="178" fontId="45" fillId="35" borderId="10" xfId="0" applyNumberFormat="1" applyFont="1" applyFill="1" applyBorder="1" applyAlignment="1">
      <alignment vertical="top"/>
    </xf>
    <xf numFmtId="178" fontId="3" fillId="36" borderId="10" xfId="0" applyNumberFormat="1" applyFont="1" applyFill="1" applyBorder="1" applyAlignment="1">
      <alignment vertical="top"/>
    </xf>
    <xf numFmtId="178" fontId="3" fillId="36" borderId="17" xfId="0" applyNumberFormat="1" applyFont="1" applyFill="1" applyBorder="1" applyAlignment="1">
      <alignment vertical="top"/>
    </xf>
    <xf numFmtId="178" fontId="4" fillId="36" borderId="20" xfId="0" applyNumberFormat="1" applyFont="1" applyFill="1" applyBorder="1" applyAlignment="1">
      <alignment vertical="top" wrapText="1"/>
    </xf>
    <xf numFmtId="178" fontId="3" fillId="36" borderId="18" xfId="0" applyNumberFormat="1" applyFont="1" applyFill="1" applyBorder="1" applyAlignment="1">
      <alignment vertical="top"/>
    </xf>
    <xf numFmtId="178" fontId="4" fillId="36" borderId="11" xfId="0" applyNumberFormat="1" applyFont="1" applyFill="1" applyBorder="1" applyAlignment="1">
      <alignment vertical="top"/>
    </xf>
    <xf numFmtId="178" fontId="3" fillId="36" borderId="19" xfId="0" applyNumberFormat="1" applyFont="1" applyFill="1" applyBorder="1" applyAlignment="1">
      <alignment vertical="top"/>
    </xf>
    <xf numFmtId="178" fontId="4" fillId="35" borderId="21" xfId="0" applyNumberFormat="1" applyFont="1" applyFill="1" applyBorder="1" applyAlignment="1">
      <alignment vertical="top"/>
    </xf>
    <xf numFmtId="178" fontId="0" fillId="0" borderId="0" xfId="0" applyNumberFormat="1" applyAlignment="1">
      <alignment/>
    </xf>
    <xf numFmtId="178" fontId="4" fillId="33" borderId="20" xfId="0" applyNumberFormat="1" applyFont="1" applyFill="1" applyBorder="1" applyAlignment="1">
      <alignment vertical="top"/>
    </xf>
    <xf numFmtId="178" fontId="1" fillId="33" borderId="22" xfId="0" applyNumberFormat="1" applyFont="1" applyFill="1" applyBorder="1" applyAlignment="1">
      <alignment vertical="top"/>
    </xf>
    <xf numFmtId="178" fontId="1" fillId="33" borderId="23" xfId="0" applyNumberFormat="1" applyFont="1" applyFill="1" applyBorder="1" applyAlignment="1">
      <alignment vertical="top"/>
    </xf>
    <xf numFmtId="178" fontId="1" fillId="33" borderId="0" xfId="0" applyNumberFormat="1" applyFont="1" applyFill="1" applyBorder="1" applyAlignment="1">
      <alignment vertical="top"/>
    </xf>
    <xf numFmtId="178" fontId="45" fillId="36" borderId="10" xfId="0" applyNumberFormat="1" applyFont="1" applyFill="1" applyBorder="1" applyAlignment="1">
      <alignment vertical="top"/>
    </xf>
    <xf numFmtId="178" fontId="4" fillId="36" borderId="21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178" fontId="4" fillId="36" borderId="24" xfId="0" applyNumberFormat="1" applyFont="1" applyFill="1" applyBorder="1" applyAlignment="1">
      <alignment vertical="top"/>
    </xf>
    <xf numFmtId="178" fontId="4" fillId="34" borderId="24" xfId="0" applyNumberFormat="1" applyFont="1" applyFill="1" applyBorder="1" applyAlignment="1">
      <alignment vertical="top"/>
    </xf>
    <xf numFmtId="178" fontId="4" fillId="35" borderId="24" xfId="0" applyNumberFormat="1" applyFont="1" applyFill="1" applyBorder="1" applyAlignment="1">
      <alignment vertical="top"/>
    </xf>
    <xf numFmtId="178" fontId="3" fillId="35" borderId="25" xfId="0" applyNumberFormat="1" applyFont="1" applyFill="1" applyBorder="1" applyAlignment="1">
      <alignment vertical="top"/>
    </xf>
    <xf numFmtId="178" fontId="4" fillId="35" borderId="25" xfId="0" applyNumberFormat="1" applyFont="1" applyFill="1" applyBorder="1" applyAlignment="1">
      <alignment vertical="top"/>
    </xf>
    <xf numFmtId="178" fontId="4" fillId="33" borderId="25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center" wrapText="1"/>
    </xf>
    <xf numFmtId="178" fontId="3" fillId="0" borderId="0" xfId="0" applyNumberFormat="1" applyFont="1" applyAlignment="1">
      <alignment/>
    </xf>
    <xf numFmtId="0" fontId="45" fillId="33" borderId="10" xfId="0" applyFont="1" applyFill="1" applyBorder="1" applyAlignment="1">
      <alignment vertical="center" wrapText="1"/>
    </xf>
    <xf numFmtId="178" fontId="3" fillId="36" borderId="0" xfId="0" applyNumberFormat="1" applyFont="1" applyFill="1" applyBorder="1" applyAlignment="1">
      <alignment vertical="top"/>
    </xf>
    <xf numFmtId="178" fontId="4" fillId="37" borderId="11" xfId="0" applyNumberFormat="1" applyFont="1" applyFill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1"/>
  <sheetViews>
    <sheetView zoomScalePageLayoutView="0" workbookViewId="0" topLeftCell="A4">
      <selection activeCell="A1" sqref="A1:IV16384"/>
    </sheetView>
  </sheetViews>
  <sheetFormatPr defaultColWidth="9.00390625" defaultRowHeight="12.75"/>
  <cols>
    <col min="1" max="1" width="32.75390625" style="0" customWidth="1"/>
    <col min="2" max="2" width="11.125" style="0" customWidth="1"/>
    <col min="3" max="4" width="9.875" style="0" customWidth="1"/>
    <col min="5" max="5" width="10.625" style="0" customWidth="1"/>
    <col min="6" max="6" width="10.00390625" style="0" customWidth="1"/>
    <col min="7" max="7" width="10.125" style="0" customWidth="1"/>
    <col min="8" max="8" width="11.375" style="0" customWidth="1"/>
    <col min="9" max="9" width="10.625" style="0" customWidth="1"/>
    <col min="10" max="10" width="10.125" style="0" customWidth="1"/>
    <col min="11" max="12" width="9.25390625" style="0" hidden="1" customWidth="1"/>
    <col min="13" max="13" width="0.6171875" style="0" hidden="1" customWidth="1"/>
    <col min="14" max="14" width="10.75390625" style="0" customWidth="1"/>
    <col min="15" max="15" width="10.25390625" style="0" customWidth="1"/>
    <col min="16" max="16" width="9.75390625" style="0" customWidth="1"/>
    <col min="17" max="17" width="11.625" style="0" customWidth="1"/>
  </cols>
  <sheetData>
    <row r="2" spans="1:16" ht="18.75" customHeight="1">
      <c r="A2" s="62" t="s">
        <v>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4" spans="1:16" ht="15.75">
      <c r="A4" s="2" t="s">
        <v>12</v>
      </c>
      <c r="B4" s="64" t="s">
        <v>38</v>
      </c>
      <c r="C4" s="65"/>
      <c r="D4" s="66"/>
      <c r="E4" s="64" t="s">
        <v>34</v>
      </c>
      <c r="F4" s="65"/>
      <c r="G4" s="66"/>
      <c r="H4" s="64" t="s">
        <v>35</v>
      </c>
      <c r="I4" s="65"/>
      <c r="J4" s="66"/>
      <c r="K4" s="64" t="s">
        <v>27</v>
      </c>
      <c r="L4" s="65"/>
      <c r="M4" s="66"/>
      <c r="N4" s="64" t="s">
        <v>27</v>
      </c>
      <c r="O4" s="65"/>
      <c r="P4" s="66"/>
    </row>
    <row r="5" spans="1:16" ht="29.25" customHeight="1">
      <c r="A5" s="3"/>
      <c r="B5" s="1" t="s">
        <v>25</v>
      </c>
      <c r="C5" s="1" t="s">
        <v>26</v>
      </c>
      <c r="D5" s="5" t="s">
        <v>28</v>
      </c>
      <c r="E5" s="1" t="s">
        <v>25</v>
      </c>
      <c r="F5" s="1" t="s">
        <v>26</v>
      </c>
      <c r="G5" s="1" t="s">
        <v>28</v>
      </c>
      <c r="H5" s="1" t="s">
        <v>25</v>
      </c>
      <c r="I5" s="1" t="s">
        <v>26</v>
      </c>
      <c r="J5" s="1" t="s">
        <v>28</v>
      </c>
      <c r="K5" s="1" t="s">
        <v>25</v>
      </c>
      <c r="L5" s="1" t="s">
        <v>26</v>
      </c>
      <c r="M5" s="1" t="s">
        <v>28</v>
      </c>
      <c r="N5" s="1" t="s">
        <v>25</v>
      </c>
      <c r="O5" s="1" t="s">
        <v>26</v>
      </c>
      <c r="P5" s="1" t="s">
        <v>28</v>
      </c>
    </row>
    <row r="6" spans="1:16" ht="12.75">
      <c r="A6" s="5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11</v>
      </c>
      <c r="O6" s="4">
        <v>12</v>
      </c>
      <c r="P6" s="4">
        <v>13</v>
      </c>
    </row>
    <row r="7" spans="1:19" ht="13.5" customHeight="1">
      <c r="A7" s="7" t="s">
        <v>0</v>
      </c>
      <c r="B7" s="36">
        <v>241658.6</v>
      </c>
      <c r="C7" s="20">
        <v>80380.1</v>
      </c>
      <c r="D7" s="29">
        <v>9235.4</v>
      </c>
      <c r="E7" s="36">
        <v>16689.2</v>
      </c>
      <c r="F7" s="20">
        <v>5730</v>
      </c>
      <c r="G7" s="29">
        <v>435.3</v>
      </c>
      <c r="H7" s="36">
        <f>E7-B7</f>
        <v>-224969.4</v>
      </c>
      <c r="I7" s="20">
        <f>F7-C7</f>
        <v>-74650.1</v>
      </c>
      <c r="J7" s="29">
        <f>G7-D7</f>
        <v>-8800.1</v>
      </c>
      <c r="K7" s="15">
        <f aca="true" t="shared" si="0" ref="K7:M9">E7/B7*100</f>
        <v>6.906106383137203</v>
      </c>
      <c r="L7" s="15">
        <f t="shared" si="0"/>
        <v>7.128630096255168</v>
      </c>
      <c r="M7" s="15">
        <f t="shared" si="0"/>
        <v>4.7133854516317655</v>
      </c>
      <c r="N7" s="36">
        <f>E7/B7*100</f>
        <v>6.906106383137203</v>
      </c>
      <c r="O7" s="20">
        <f>F7/C7*100</f>
        <v>7.128630096255168</v>
      </c>
      <c r="P7" s="29">
        <f>G7/D7*100</f>
        <v>4.7133854516317655</v>
      </c>
      <c r="Q7" s="43"/>
      <c r="R7" s="43"/>
      <c r="S7" s="43"/>
    </row>
    <row r="8" spans="1:17" ht="12.75">
      <c r="A8" s="7" t="s">
        <v>23</v>
      </c>
      <c r="B8" s="36">
        <v>5275.7</v>
      </c>
      <c r="C8" s="20">
        <v>3509.7</v>
      </c>
      <c r="D8" s="29">
        <v>3351.8</v>
      </c>
      <c r="E8" s="36">
        <v>449.3</v>
      </c>
      <c r="F8" s="20">
        <v>312.5</v>
      </c>
      <c r="G8" s="29">
        <v>285.5</v>
      </c>
      <c r="H8" s="36">
        <f aca="true" t="shared" si="1" ref="H8:J29">E8-B8</f>
        <v>-4826.4</v>
      </c>
      <c r="I8" s="20">
        <f t="shared" si="1"/>
        <v>-3197.2</v>
      </c>
      <c r="J8" s="29">
        <f t="shared" si="1"/>
        <v>-3066.3</v>
      </c>
      <c r="K8" s="15">
        <f t="shared" si="0"/>
        <v>8.516405405917698</v>
      </c>
      <c r="L8" s="15">
        <f t="shared" si="0"/>
        <v>8.903894919793714</v>
      </c>
      <c r="M8" s="15">
        <f t="shared" si="0"/>
        <v>8.51781132525807</v>
      </c>
      <c r="N8" s="36">
        <f aca="true" t="shared" si="2" ref="N8:P27">E8/B8*100</f>
        <v>8.516405405917698</v>
      </c>
      <c r="O8" s="20">
        <f t="shared" si="2"/>
        <v>8.903894919793714</v>
      </c>
      <c r="P8" s="29">
        <f t="shared" si="2"/>
        <v>8.51781132525807</v>
      </c>
      <c r="Q8" s="43"/>
    </row>
    <row r="9" spans="1:17" ht="15.75" customHeight="1">
      <c r="A9" s="7" t="s">
        <v>1</v>
      </c>
      <c r="B9" s="36">
        <v>21178.8</v>
      </c>
      <c r="C9" s="20">
        <v>2150</v>
      </c>
      <c r="D9" s="29">
        <v>169.5</v>
      </c>
      <c r="E9" s="36">
        <v>3828.9</v>
      </c>
      <c r="F9" s="20">
        <v>394.1</v>
      </c>
      <c r="G9" s="29">
        <v>31.3</v>
      </c>
      <c r="H9" s="36">
        <f t="shared" si="1"/>
        <v>-17349.899999999998</v>
      </c>
      <c r="I9" s="20">
        <f t="shared" si="1"/>
        <v>-1755.9</v>
      </c>
      <c r="J9" s="29">
        <f t="shared" si="1"/>
        <v>-138.2</v>
      </c>
      <c r="K9" s="15">
        <f t="shared" si="0"/>
        <v>18.078927984588365</v>
      </c>
      <c r="L9" s="15">
        <f t="shared" si="0"/>
        <v>18.330232558139535</v>
      </c>
      <c r="M9" s="15">
        <f t="shared" si="0"/>
        <v>18.466076696165192</v>
      </c>
      <c r="N9" s="36">
        <f t="shared" si="2"/>
        <v>18.078927984588365</v>
      </c>
      <c r="O9" s="20">
        <f t="shared" si="2"/>
        <v>18.330232558139535</v>
      </c>
      <c r="P9" s="29">
        <f t="shared" si="2"/>
        <v>18.466076696165192</v>
      </c>
      <c r="Q9" s="43"/>
    </row>
    <row r="10" spans="1:17" ht="15" customHeight="1">
      <c r="A10" s="7" t="s">
        <v>2</v>
      </c>
      <c r="B10" s="36">
        <v>0</v>
      </c>
      <c r="C10" s="20">
        <v>190</v>
      </c>
      <c r="D10" s="29">
        <v>5</v>
      </c>
      <c r="E10" s="36">
        <v>0</v>
      </c>
      <c r="F10" s="20">
        <v>0</v>
      </c>
      <c r="G10" s="29">
        <v>0.6</v>
      </c>
      <c r="H10" s="36">
        <f t="shared" si="1"/>
        <v>0</v>
      </c>
      <c r="I10" s="20">
        <f t="shared" si="1"/>
        <v>-190</v>
      </c>
      <c r="J10" s="29">
        <f t="shared" si="1"/>
        <v>-4.4</v>
      </c>
      <c r="K10" s="15">
        <v>0</v>
      </c>
      <c r="L10" s="15">
        <f>F10/C10*100</f>
        <v>0</v>
      </c>
      <c r="M10" s="15">
        <f>G10/D10*100</f>
        <v>12</v>
      </c>
      <c r="N10" s="36">
        <v>0</v>
      </c>
      <c r="O10" s="20">
        <f t="shared" si="2"/>
        <v>0</v>
      </c>
      <c r="P10" s="29">
        <f t="shared" si="2"/>
        <v>12</v>
      </c>
      <c r="Q10" s="43"/>
    </row>
    <row r="11" spans="1:17" ht="24" customHeight="1">
      <c r="A11" s="7" t="s">
        <v>22</v>
      </c>
      <c r="B11" s="36">
        <v>595</v>
      </c>
      <c r="C11" s="20">
        <v>0</v>
      </c>
      <c r="D11" s="29">
        <v>0</v>
      </c>
      <c r="E11" s="36">
        <v>20.6</v>
      </c>
      <c r="F11" s="20">
        <v>0</v>
      </c>
      <c r="G11" s="29">
        <v>0</v>
      </c>
      <c r="H11" s="36">
        <f t="shared" si="1"/>
        <v>-574.4</v>
      </c>
      <c r="I11" s="20">
        <f t="shared" si="1"/>
        <v>0</v>
      </c>
      <c r="J11" s="29">
        <f t="shared" si="1"/>
        <v>0</v>
      </c>
      <c r="K11" s="15">
        <f>E11/B11*100</f>
        <v>3.46218487394958</v>
      </c>
      <c r="L11" s="15">
        <v>0</v>
      </c>
      <c r="M11" s="15">
        <v>0</v>
      </c>
      <c r="N11" s="36">
        <f t="shared" si="2"/>
        <v>3.46218487394958</v>
      </c>
      <c r="O11" s="20">
        <v>0</v>
      </c>
      <c r="P11" s="29">
        <v>0</v>
      </c>
      <c r="Q11" s="43"/>
    </row>
    <row r="12" spans="1:17" ht="14.25" customHeight="1">
      <c r="A12" s="57" t="s">
        <v>16</v>
      </c>
      <c r="B12" s="36">
        <v>0</v>
      </c>
      <c r="C12" s="20">
        <v>22953.4</v>
      </c>
      <c r="D12" s="29">
        <v>3199.9</v>
      </c>
      <c r="E12" s="36">
        <v>0</v>
      </c>
      <c r="F12" s="20">
        <v>822.6</v>
      </c>
      <c r="G12" s="29">
        <v>102.4</v>
      </c>
      <c r="H12" s="36">
        <f t="shared" si="1"/>
        <v>0</v>
      </c>
      <c r="I12" s="20">
        <f t="shared" si="1"/>
        <v>-22130.800000000003</v>
      </c>
      <c r="J12" s="29">
        <f t="shared" si="1"/>
        <v>-3097.5</v>
      </c>
      <c r="K12" s="15">
        <v>0</v>
      </c>
      <c r="L12" s="15">
        <f aca="true" t="shared" si="3" ref="L12:M15">F12/C12*100</f>
        <v>3.5837827947057947</v>
      </c>
      <c r="M12" s="15">
        <f t="shared" si="3"/>
        <v>3.2001000031250975</v>
      </c>
      <c r="N12" s="36">
        <v>0</v>
      </c>
      <c r="O12" s="20">
        <f t="shared" si="2"/>
        <v>3.5837827947057947</v>
      </c>
      <c r="P12" s="29">
        <f t="shared" si="2"/>
        <v>3.2001000031250975</v>
      </c>
      <c r="Q12" s="43"/>
    </row>
    <row r="13" spans="1:17" ht="15" customHeight="1">
      <c r="A13" s="7" t="s">
        <v>18</v>
      </c>
      <c r="B13" s="36">
        <v>7336.8</v>
      </c>
      <c r="C13" s="20">
        <v>7800</v>
      </c>
      <c r="D13" s="29">
        <v>139.9</v>
      </c>
      <c r="E13" s="36">
        <v>718</v>
      </c>
      <c r="F13" s="26">
        <v>704.6</v>
      </c>
      <c r="G13" s="35">
        <v>13.4</v>
      </c>
      <c r="H13" s="36">
        <f t="shared" si="1"/>
        <v>-6618.8</v>
      </c>
      <c r="I13" s="20">
        <f t="shared" si="1"/>
        <v>-7095.4</v>
      </c>
      <c r="J13" s="29">
        <f t="shared" si="1"/>
        <v>-126.5</v>
      </c>
      <c r="K13" s="15">
        <f>E13/B13*100</f>
        <v>9.786282848108167</v>
      </c>
      <c r="L13" s="15">
        <f t="shared" si="3"/>
        <v>9.033333333333333</v>
      </c>
      <c r="M13" s="15">
        <f t="shared" si="3"/>
        <v>9.578270192994996</v>
      </c>
      <c r="N13" s="36">
        <f t="shared" si="2"/>
        <v>9.786282848108167</v>
      </c>
      <c r="O13" s="20">
        <f t="shared" si="2"/>
        <v>9.033333333333333</v>
      </c>
      <c r="P13" s="29">
        <f t="shared" si="2"/>
        <v>9.578270192994996</v>
      </c>
      <c r="Q13" s="43"/>
    </row>
    <row r="14" spans="1:17" ht="15" customHeight="1">
      <c r="A14" s="57" t="s">
        <v>19</v>
      </c>
      <c r="B14" s="36">
        <v>24387</v>
      </c>
      <c r="C14" s="20">
        <v>18500</v>
      </c>
      <c r="D14" s="29">
        <v>2650.7</v>
      </c>
      <c r="E14" s="36">
        <v>950.2</v>
      </c>
      <c r="F14" s="20">
        <v>779.1</v>
      </c>
      <c r="G14" s="35">
        <v>171.1</v>
      </c>
      <c r="H14" s="36">
        <f t="shared" si="1"/>
        <v>-23436.8</v>
      </c>
      <c r="I14" s="20">
        <f t="shared" si="1"/>
        <v>-17720.9</v>
      </c>
      <c r="J14" s="29">
        <f t="shared" si="1"/>
        <v>-2479.6</v>
      </c>
      <c r="K14" s="15">
        <f>E14/B14*100</f>
        <v>3.896338212982327</v>
      </c>
      <c r="L14" s="15">
        <f t="shared" si="3"/>
        <v>4.211351351351351</v>
      </c>
      <c r="M14" s="15">
        <f t="shared" si="3"/>
        <v>6.454898706002188</v>
      </c>
      <c r="N14" s="36">
        <f t="shared" si="2"/>
        <v>3.896338212982327</v>
      </c>
      <c r="O14" s="20">
        <f t="shared" si="2"/>
        <v>4.211351351351351</v>
      </c>
      <c r="P14" s="29">
        <f t="shared" si="2"/>
        <v>6.454898706002188</v>
      </c>
      <c r="Q14" s="43"/>
    </row>
    <row r="15" spans="1:17" ht="15.75" customHeight="1">
      <c r="A15" s="7" t="s">
        <v>8</v>
      </c>
      <c r="B15" s="36">
        <v>0</v>
      </c>
      <c r="C15" s="20">
        <v>53800</v>
      </c>
      <c r="D15" s="29">
        <v>14166.8</v>
      </c>
      <c r="E15" s="36">
        <v>0</v>
      </c>
      <c r="F15" s="20">
        <v>3163.2</v>
      </c>
      <c r="G15" s="29">
        <v>682.2</v>
      </c>
      <c r="H15" s="36">
        <f t="shared" si="1"/>
        <v>0</v>
      </c>
      <c r="I15" s="20">
        <f t="shared" si="1"/>
        <v>-50636.8</v>
      </c>
      <c r="J15" s="29">
        <f t="shared" si="1"/>
        <v>-13484.599999999999</v>
      </c>
      <c r="K15" s="15">
        <v>0</v>
      </c>
      <c r="L15" s="15">
        <f t="shared" si="3"/>
        <v>5.879553903345725</v>
      </c>
      <c r="M15" s="15">
        <f t="shared" si="3"/>
        <v>4.815484089561511</v>
      </c>
      <c r="N15" s="36">
        <v>0</v>
      </c>
      <c r="O15" s="20">
        <f t="shared" si="2"/>
        <v>5.879553903345725</v>
      </c>
      <c r="P15" s="29">
        <f t="shared" si="2"/>
        <v>4.815484089561511</v>
      </c>
      <c r="Q15" s="43"/>
    </row>
    <row r="16" spans="1:17" ht="15" customHeight="1">
      <c r="A16" s="7" t="s">
        <v>3</v>
      </c>
      <c r="B16" s="36">
        <v>8451.2</v>
      </c>
      <c r="C16" s="20">
        <v>0</v>
      </c>
      <c r="D16" s="29">
        <v>63.5</v>
      </c>
      <c r="E16" s="36">
        <v>387.1</v>
      </c>
      <c r="F16" s="20">
        <v>0</v>
      </c>
      <c r="G16" s="29">
        <v>4.8</v>
      </c>
      <c r="H16" s="36">
        <f t="shared" si="1"/>
        <v>-8064.1</v>
      </c>
      <c r="I16" s="20">
        <f t="shared" si="1"/>
        <v>0</v>
      </c>
      <c r="J16" s="29">
        <f t="shared" si="1"/>
        <v>-58.7</v>
      </c>
      <c r="K16" s="15">
        <f>E16/B16*100</f>
        <v>4.58041461567588</v>
      </c>
      <c r="L16" s="15">
        <v>0</v>
      </c>
      <c r="M16" s="15">
        <f>G16/D16*100</f>
        <v>7.559055118110236</v>
      </c>
      <c r="N16" s="36">
        <f t="shared" si="2"/>
        <v>4.58041461567588</v>
      </c>
      <c r="O16" s="20">
        <v>0</v>
      </c>
      <c r="P16" s="29">
        <f t="shared" si="2"/>
        <v>7.559055118110236</v>
      </c>
      <c r="Q16" s="43"/>
    </row>
    <row r="17" spans="1:17" ht="15" customHeight="1">
      <c r="A17" s="59" t="s">
        <v>33</v>
      </c>
      <c r="B17" s="36">
        <v>0</v>
      </c>
      <c r="C17" s="20">
        <v>0</v>
      </c>
      <c r="D17" s="29">
        <v>0</v>
      </c>
      <c r="E17" s="36">
        <v>0</v>
      </c>
      <c r="F17" s="20">
        <v>0</v>
      </c>
      <c r="G17" s="29">
        <v>0</v>
      </c>
      <c r="H17" s="36">
        <f t="shared" si="1"/>
        <v>0</v>
      </c>
      <c r="I17" s="20">
        <f t="shared" si="1"/>
        <v>0</v>
      </c>
      <c r="J17" s="29">
        <f t="shared" si="1"/>
        <v>0</v>
      </c>
      <c r="K17" s="15">
        <v>0</v>
      </c>
      <c r="L17" s="15">
        <v>0</v>
      </c>
      <c r="M17" s="15">
        <v>0</v>
      </c>
      <c r="N17" s="36">
        <v>0</v>
      </c>
      <c r="O17" s="20">
        <v>0</v>
      </c>
      <c r="P17" s="29">
        <v>0</v>
      </c>
      <c r="Q17" s="43"/>
    </row>
    <row r="18" spans="1:17" ht="16.5" customHeight="1">
      <c r="A18" s="59" t="s">
        <v>13</v>
      </c>
      <c r="B18" s="36">
        <v>47368</v>
      </c>
      <c r="C18" s="20">
        <f>17813.4+454</f>
        <v>18267.4</v>
      </c>
      <c r="D18" s="29">
        <v>0</v>
      </c>
      <c r="E18" s="36">
        <f>411.2+0</f>
        <v>411.2</v>
      </c>
      <c r="F18" s="20">
        <f>292.6+93.6</f>
        <v>386.20000000000005</v>
      </c>
      <c r="G18" s="29">
        <f>0+0</f>
        <v>0</v>
      </c>
      <c r="H18" s="36">
        <f t="shared" si="1"/>
        <v>-46956.8</v>
      </c>
      <c r="I18" s="20">
        <f t="shared" si="1"/>
        <v>-17881.2</v>
      </c>
      <c r="J18" s="29">
        <f t="shared" si="1"/>
        <v>0</v>
      </c>
      <c r="K18" s="15">
        <f aca="true" t="shared" si="4" ref="K18:L27">E18/B18*100</f>
        <v>0.8680966053031582</v>
      </c>
      <c r="L18" s="15">
        <f t="shared" si="4"/>
        <v>2.1141487020594063</v>
      </c>
      <c r="M18" s="15">
        <v>0</v>
      </c>
      <c r="N18" s="36">
        <f t="shared" si="2"/>
        <v>0.8680966053031582</v>
      </c>
      <c r="O18" s="20">
        <f t="shared" si="2"/>
        <v>2.1141487020594063</v>
      </c>
      <c r="P18" s="29">
        <v>0</v>
      </c>
      <c r="Q18" s="43"/>
    </row>
    <row r="19" spans="1:17" ht="15" customHeight="1">
      <c r="A19" s="57" t="s">
        <v>4</v>
      </c>
      <c r="B19" s="36">
        <v>4500</v>
      </c>
      <c r="C19" s="20">
        <v>2782</v>
      </c>
      <c r="D19" s="29">
        <v>531.8</v>
      </c>
      <c r="E19" s="36">
        <v>128.8</v>
      </c>
      <c r="F19" s="20">
        <v>241.9</v>
      </c>
      <c r="G19" s="29">
        <v>29.8</v>
      </c>
      <c r="H19" s="36">
        <f t="shared" si="1"/>
        <v>-4371.2</v>
      </c>
      <c r="I19" s="20">
        <f t="shared" si="1"/>
        <v>-2540.1</v>
      </c>
      <c r="J19" s="29">
        <f t="shared" si="1"/>
        <v>-501.99999999999994</v>
      </c>
      <c r="K19" s="15">
        <f t="shared" si="4"/>
        <v>2.8622222222222224</v>
      </c>
      <c r="L19" s="15">
        <f t="shared" si="4"/>
        <v>8.695183321351546</v>
      </c>
      <c r="M19" s="15">
        <f>G19/D19*100</f>
        <v>5.6036103798420465</v>
      </c>
      <c r="N19" s="36">
        <f t="shared" si="2"/>
        <v>2.8622222222222224</v>
      </c>
      <c r="O19" s="20">
        <f t="shared" si="2"/>
        <v>8.695183321351546</v>
      </c>
      <c r="P19" s="29">
        <f t="shared" si="2"/>
        <v>5.6036103798420465</v>
      </c>
      <c r="Q19" s="43"/>
    </row>
    <row r="20" spans="1:17" ht="27" customHeight="1">
      <c r="A20" s="59" t="s">
        <v>24</v>
      </c>
      <c r="B20" s="36">
        <v>768.6</v>
      </c>
      <c r="C20" s="20">
        <f>235.8+2944.5</f>
        <v>3180.3</v>
      </c>
      <c r="D20" s="29">
        <v>0</v>
      </c>
      <c r="E20" s="36">
        <f>0+7.3</f>
        <v>7.3</v>
      </c>
      <c r="F20" s="20">
        <f>0+175.8</f>
        <v>175.8</v>
      </c>
      <c r="G20" s="29">
        <f>0+0</f>
        <v>0</v>
      </c>
      <c r="H20" s="36">
        <f t="shared" si="1"/>
        <v>-761.3000000000001</v>
      </c>
      <c r="I20" s="20">
        <f t="shared" si="1"/>
        <v>-3004.5</v>
      </c>
      <c r="J20" s="29">
        <f t="shared" si="1"/>
        <v>0</v>
      </c>
      <c r="K20" s="15">
        <f t="shared" si="4"/>
        <v>0.9497788186312776</v>
      </c>
      <c r="L20" s="15">
        <f t="shared" si="4"/>
        <v>5.527780398075653</v>
      </c>
      <c r="M20" s="15">
        <v>0</v>
      </c>
      <c r="N20" s="36">
        <f t="shared" si="2"/>
        <v>0.9497788186312776</v>
      </c>
      <c r="O20" s="20">
        <f t="shared" si="2"/>
        <v>5.527780398075653</v>
      </c>
      <c r="P20" s="29">
        <v>0</v>
      </c>
      <c r="Q20" s="43"/>
    </row>
    <row r="21" spans="1:17" ht="16.5" customHeight="1">
      <c r="A21" s="57" t="s">
        <v>5</v>
      </c>
      <c r="B21" s="36">
        <v>6866</v>
      </c>
      <c r="C21" s="20">
        <v>0</v>
      </c>
      <c r="D21" s="29">
        <v>0</v>
      </c>
      <c r="E21" s="36">
        <v>13.8</v>
      </c>
      <c r="F21" s="20">
        <v>0</v>
      </c>
      <c r="G21" s="29">
        <v>0</v>
      </c>
      <c r="H21" s="36">
        <f t="shared" si="1"/>
        <v>-6852.2</v>
      </c>
      <c r="I21" s="20">
        <f t="shared" si="1"/>
        <v>0</v>
      </c>
      <c r="J21" s="29">
        <f t="shared" si="1"/>
        <v>0</v>
      </c>
      <c r="K21" s="15">
        <f t="shared" si="4"/>
        <v>0.200990387416254</v>
      </c>
      <c r="L21" s="15">
        <v>0</v>
      </c>
      <c r="M21" s="15">
        <v>0</v>
      </c>
      <c r="N21" s="36">
        <f t="shared" si="2"/>
        <v>0.200990387416254</v>
      </c>
      <c r="O21" s="20">
        <v>0</v>
      </c>
      <c r="P21" s="29">
        <v>0</v>
      </c>
      <c r="Q21" s="43"/>
    </row>
    <row r="22" spans="1:17" ht="15.75" customHeight="1">
      <c r="A22" s="57" t="s">
        <v>20</v>
      </c>
      <c r="B22" s="36">
        <v>2998</v>
      </c>
      <c r="C22" s="20">
        <v>100</v>
      </c>
      <c r="D22" s="29">
        <v>0</v>
      </c>
      <c r="E22" s="36">
        <v>0.2</v>
      </c>
      <c r="F22" s="20">
        <v>0.9</v>
      </c>
      <c r="G22" s="29">
        <v>0</v>
      </c>
      <c r="H22" s="36">
        <f t="shared" si="1"/>
        <v>-2997.8</v>
      </c>
      <c r="I22" s="20">
        <f t="shared" si="1"/>
        <v>-99.1</v>
      </c>
      <c r="J22" s="29">
        <f t="shared" si="1"/>
        <v>0</v>
      </c>
      <c r="K22" s="15">
        <f t="shared" si="4"/>
        <v>0.0066711140760507</v>
      </c>
      <c r="L22" s="15">
        <f>F22/C22*100</f>
        <v>0.9000000000000001</v>
      </c>
      <c r="M22" s="15">
        <v>0</v>
      </c>
      <c r="N22" s="36">
        <f t="shared" si="2"/>
        <v>0.0066711140760507</v>
      </c>
      <c r="O22" s="20">
        <f t="shared" si="2"/>
        <v>0.9000000000000001</v>
      </c>
      <c r="P22" s="29">
        <v>0</v>
      </c>
      <c r="Q22" s="43"/>
    </row>
    <row r="23" spans="1:17" ht="15" customHeight="1">
      <c r="A23" s="57" t="s">
        <v>6</v>
      </c>
      <c r="B23" s="36">
        <v>11.9</v>
      </c>
      <c r="C23" s="20">
        <v>0</v>
      </c>
      <c r="D23" s="29">
        <v>0</v>
      </c>
      <c r="E23" s="36">
        <v>29.8</v>
      </c>
      <c r="F23" s="20">
        <v>0</v>
      </c>
      <c r="G23" s="29">
        <v>0</v>
      </c>
      <c r="H23" s="36">
        <f t="shared" si="1"/>
        <v>17.9</v>
      </c>
      <c r="I23" s="20">
        <f t="shared" si="1"/>
        <v>0</v>
      </c>
      <c r="J23" s="29">
        <f t="shared" si="1"/>
        <v>0</v>
      </c>
      <c r="K23" s="15">
        <f t="shared" si="4"/>
        <v>250.42016806722688</v>
      </c>
      <c r="L23" s="15" t="e">
        <f>F23/C23*100</f>
        <v>#DIV/0!</v>
      </c>
      <c r="M23" s="15">
        <v>0</v>
      </c>
      <c r="N23" s="36">
        <f t="shared" si="2"/>
        <v>250.42016806722688</v>
      </c>
      <c r="O23" s="20">
        <v>0</v>
      </c>
      <c r="P23" s="29">
        <v>0</v>
      </c>
      <c r="Q23" s="43"/>
    </row>
    <row r="24" spans="1:17" ht="15.75" customHeight="1">
      <c r="A24" s="57" t="s">
        <v>29</v>
      </c>
      <c r="B24" s="36">
        <v>0</v>
      </c>
      <c r="C24" s="20">
        <v>3798.7</v>
      </c>
      <c r="D24" s="29">
        <v>1847.4</v>
      </c>
      <c r="E24" s="36">
        <v>0</v>
      </c>
      <c r="F24" s="20">
        <v>602.8</v>
      </c>
      <c r="G24" s="29">
        <v>0</v>
      </c>
      <c r="H24" s="36">
        <f t="shared" si="1"/>
        <v>0</v>
      </c>
      <c r="I24" s="20">
        <f t="shared" si="1"/>
        <v>-3195.8999999999996</v>
      </c>
      <c r="J24" s="29">
        <f t="shared" si="1"/>
        <v>-1847.4</v>
      </c>
      <c r="K24" s="15" t="e">
        <f t="shared" si="4"/>
        <v>#DIV/0!</v>
      </c>
      <c r="L24" s="15">
        <f>F24/C24*100</f>
        <v>15.868586621739015</v>
      </c>
      <c r="M24" s="15">
        <f>G24/D24*100</f>
        <v>0</v>
      </c>
      <c r="N24" s="36">
        <v>0</v>
      </c>
      <c r="O24" s="20">
        <f t="shared" si="2"/>
        <v>15.868586621739015</v>
      </c>
      <c r="P24" s="29">
        <f t="shared" si="2"/>
        <v>0</v>
      </c>
      <c r="Q24" s="43"/>
    </row>
    <row r="25" spans="1:17" ht="27" customHeight="1">
      <c r="A25" s="57" t="s">
        <v>17</v>
      </c>
      <c r="B25" s="36">
        <f>4500+330</f>
        <v>4830</v>
      </c>
      <c r="C25" s="20">
        <f>7498.8+385</f>
        <v>7883.8</v>
      </c>
      <c r="D25" s="29">
        <f>23.2+0</f>
        <v>23.2</v>
      </c>
      <c r="E25" s="36">
        <f>352.8+3.9</f>
        <v>356.7</v>
      </c>
      <c r="F25" s="20">
        <f>1665.5+1.9</f>
        <v>1667.4</v>
      </c>
      <c r="G25" s="29">
        <f>0+0</f>
        <v>0</v>
      </c>
      <c r="H25" s="36">
        <f t="shared" si="1"/>
        <v>-4473.3</v>
      </c>
      <c r="I25" s="20">
        <f t="shared" si="1"/>
        <v>-6216.4</v>
      </c>
      <c r="J25" s="29">
        <f t="shared" si="1"/>
        <v>-23.2</v>
      </c>
      <c r="K25" s="15">
        <f t="shared" si="4"/>
        <v>7.385093167701863</v>
      </c>
      <c r="L25" s="15">
        <f>F25/C25*100</f>
        <v>21.149699383546007</v>
      </c>
      <c r="M25" s="15">
        <v>0</v>
      </c>
      <c r="N25" s="36">
        <f t="shared" si="2"/>
        <v>7.385093167701863</v>
      </c>
      <c r="O25" s="20">
        <f t="shared" si="2"/>
        <v>21.149699383546007</v>
      </c>
      <c r="P25" s="29">
        <f t="shared" si="2"/>
        <v>0</v>
      </c>
      <c r="Q25" s="43"/>
    </row>
    <row r="26" spans="1:17" ht="16.5" customHeight="1">
      <c r="A26" s="7" t="s">
        <v>7</v>
      </c>
      <c r="B26" s="36">
        <v>6571.5</v>
      </c>
      <c r="C26" s="20">
        <v>130</v>
      </c>
      <c r="D26" s="29">
        <v>1</v>
      </c>
      <c r="E26" s="48">
        <v>504.3</v>
      </c>
      <c r="F26" s="26">
        <v>41.2</v>
      </c>
      <c r="G26" s="35">
        <v>0</v>
      </c>
      <c r="H26" s="36">
        <f t="shared" si="1"/>
        <v>-6067.2</v>
      </c>
      <c r="I26" s="20">
        <f t="shared" si="1"/>
        <v>-88.8</v>
      </c>
      <c r="J26" s="29">
        <f t="shared" si="1"/>
        <v>-1</v>
      </c>
      <c r="K26" s="15">
        <f t="shared" si="4"/>
        <v>7.674047021228031</v>
      </c>
      <c r="L26" s="15">
        <f>F26/C26*100</f>
        <v>31.692307692307693</v>
      </c>
      <c r="M26" s="15">
        <f>G26/D26*100</f>
        <v>0</v>
      </c>
      <c r="N26" s="36">
        <f t="shared" si="2"/>
        <v>7.674047021228031</v>
      </c>
      <c r="O26" s="20">
        <f t="shared" si="2"/>
        <v>31.692307692307693</v>
      </c>
      <c r="P26" s="29">
        <f t="shared" si="2"/>
        <v>0</v>
      </c>
      <c r="Q26" s="43"/>
    </row>
    <row r="27" spans="1:17" ht="14.25" customHeight="1">
      <c r="A27" s="7" t="s">
        <v>9</v>
      </c>
      <c r="B27" s="36">
        <v>135.5</v>
      </c>
      <c r="C27" s="20">
        <v>0</v>
      </c>
      <c r="D27" s="29">
        <v>49.6</v>
      </c>
      <c r="E27" s="36">
        <v>-0.7</v>
      </c>
      <c r="F27" s="20">
        <v>44.7</v>
      </c>
      <c r="G27" s="29">
        <v>0</v>
      </c>
      <c r="H27" s="36">
        <f t="shared" si="1"/>
        <v>-136.2</v>
      </c>
      <c r="I27" s="20">
        <f t="shared" si="1"/>
        <v>44.7</v>
      </c>
      <c r="J27" s="29">
        <f t="shared" si="1"/>
        <v>-49.6</v>
      </c>
      <c r="K27" s="15">
        <f t="shared" si="4"/>
        <v>-0.5166051660516604</v>
      </c>
      <c r="L27" s="15">
        <v>0</v>
      </c>
      <c r="M27" s="15">
        <v>0</v>
      </c>
      <c r="N27" s="36">
        <f t="shared" si="2"/>
        <v>-0.5166051660516604</v>
      </c>
      <c r="O27" s="20">
        <v>0</v>
      </c>
      <c r="P27" s="29">
        <f t="shared" si="2"/>
        <v>0</v>
      </c>
      <c r="Q27" s="43"/>
    </row>
    <row r="28" spans="1:17" ht="16.5" customHeight="1" thickBot="1">
      <c r="A28" s="8" t="s">
        <v>10</v>
      </c>
      <c r="B28" s="37">
        <v>0</v>
      </c>
      <c r="C28" s="21">
        <v>0</v>
      </c>
      <c r="D28" s="30">
        <v>0</v>
      </c>
      <c r="E28" s="37">
        <v>21.9</v>
      </c>
      <c r="F28" s="25">
        <v>8.6</v>
      </c>
      <c r="G28" s="34">
        <v>0</v>
      </c>
      <c r="H28" s="37">
        <f t="shared" si="1"/>
        <v>21.9</v>
      </c>
      <c r="I28" s="21">
        <f t="shared" si="1"/>
        <v>8.6</v>
      </c>
      <c r="J28" s="30">
        <f t="shared" si="1"/>
        <v>0</v>
      </c>
      <c r="K28" s="16">
        <v>0</v>
      </c>
      <c r="L28" s="16">
        <v>0</v>
      </c>
      <c r="M28" s="16">
        <v>0</v>
      </c>
      <c r="N28" s="36">
        <v>0</v>
      </c>
      <c r="O28" s="20">
        <v>0</v>
      </c>
      <c r="P28" s="29">
        <v>0</v>
      </c>
      <c r="Q28" s="43"/>
    </row>
    <row r="29" spans="1:17" ht="15" customHeight="1" thickBot="1">
      <c r="A29" s="9" t="s">
        <v>14</v>
      </c>
      <c r="B29" s="38">
        <f>B7+B8+B9+B10+B11+B13+B12+B14+B15+B16+B17+B18+B19+B20+B21+B22+B23+B24+B25+B26+B27+B28</f>
        <v>382932.60000000003</v>
      </c>
      <c r="C29" s="22">
        <f>SUM(C7:C28)</f>
        <v>225425.4</v>
      </c>
      <c r="D29" s="31">
        <f>SUM(D7:D28)</f>
        <v>35435.5</v>
      </c>
      <c r="E29" s="38">
        <f>SUM(E7:E28)</f>
        <v>24516.6</v>
      </c>
      <c r="F29" s="27">
        <f>SUM(F7:F28)</f>
        <v>15075.600000000002</v>
      </c>
      <c r="G29" s="31">
        <f>SUM(G7:G28)</f>
        <v>1756.3999999999999</v>
      </c>
      <c r="H29" s="51">
        <f t="shared" si="1"/>
        <v>-358416.00000000006</v>
      </c>
      <c r="I29" s="52">
        <f t="shared" si="1"/>
        <v>-210349.8</v>
      </c>
      <c r="J29" s="53">
        <f t="shared" si="1"/>
        <v>-33679.1</v>
      </c>
      <c r="K29" s="44">
        <f aca="true" t="shared" si="5" ref="K29:M32">E29/B29*100</f>
        <v>6.402327720335118</v>
      </c>
      <c r="L29" s="44">
        <f t="shared" si="5"/>
        <v>6.6876226015347</v>
      </c>
      <c r="M29" s="18">
        <f t="shared" si="5"/>
        <v>4.956611307869227</v>
      </c>
      <c r="N29" s="49">
        <f aca="true" t="shared" si="6" ref="N29:P35">E29/B29*100</f>
        <v>6.402327720335118</v>
      </c>
      <c r="O29" s="52">
        <f t="shared" si="6"/>
        <v>6.6876226015347</v>
      </c>
      <c r="P29" s="55">
        <f t="shared" si="6"/>
        <v>4.956611307869227</v>
      </c>
      <c r="Q29" s="43"/>
    </row>
    <row r="30" spans="1:17" ht="26.25" customHeight="1">
      <c r="A30" s="10" t="s">
        <v>21</v>
      </c>
      <c r="B30" s="39">
        <v>153075.8</v>
      </c>
      <c r="C30" s="23">
        <v>14436.5</v>
      </c>
      <c r="D30" s="32">
        <v>24546.5</v>
      </c>
      <c r="E30" s="39">
        <v>9184.6</v>
      </c>
      <c r="F30" s="23">
        <v>1203.1</v>
      </c>
      <c r="G30" s="32">
        <v>2003.2</v>
      </c>
      <c r="H30" s="39">
        <f aca="true" t="shared" si="7" ref="H30:J35">E30-B30</f>
        <v>-143891.19999999998</v>
      </c>
      <c r="I30" s="23">
        <f t="shared" si="7"/>
        <v>-13233.4</v>
      </c>
      <c r="J30" s="32">
        <f t="shared" si="7"/>
        <v>-22543.3</v>
      </c>
      <c r="K30" s="17">
        <f t="shared" si="5"/>
        <v>6.000033970098475</v>
      </c>
      <c r="L30" s="17">
        <f t="shared" si="5"/>
        <v>8.333737401724795</v>
      </c>
      <c r="M30" s="17">
        <f t="shared" si="5"/>
        <v>8.160837593954332</v>
      </c>
      <c r="N30" s="39">
        <f t="shared" si="6"/>
        <v>6.000033970098475</v>
      </c>
      <c r="O30" s="23">
        <f t="shared" si="6"/>
        <v>8.333737401724795</v>
      </c>
      <c r="P30" s="32">
        <f t="shared" si="6"/>
        <v>8.160837593954332</v>
      </c>
      <c r="Q30" s="43"/>
    </row>
    <row r="31" spans="1:17" ht="27.75" customHeight="1">
      <c r="A31" s="11" t="s">
        <v>32</v>
      </c>
      <c r="B31" s="36">
        <f>30304.1+603137.6+77654.5</f>
        <v>711096.2</v>
      </c>
      <c r="C31" s="20">
        <f>100.3+1818+0</f>
        <v>1918.3</v>
      </c>
      <c r="D31" s="29">
        <f>0+787.6+8292</f>
        <v>9079.6</v>
      </c>
      <c r="E31" s="36">
        <f>0+64936.6+4576.9</f>
        <v>69513.5</v>
      </c>
      <c r="F31" s="20">
        <f>0+10.9+0</f>
        <v>10.9</v>
      </c>
      <c r="G31" s="29">
        <f>0+7.5+0</f>
        <v>7.5</v>
      </c>
      <c r="H31" s="36">
        <f t="shared" si="7"/>
        <v>-641582.7</v>
      </c>
      <c r="I31" s="23">
        <f t="shared" si="7"/>
        <v>-1907.3999999999999</v>
      </c>
      <c r="J31" s="32">
        <f t="shared" si="7"/>
        <v>-9072.1</v>
      </c>
      <c r="K31" s="17">
        <f t="shared" si="5"/>
        <v>9.775540918373633</v>
      </c>
      <c r="L31" s="15">
        <f t="shared" si="5"/>
        <v>0.5682114372100298</v>
      </c>
      <c r="M31" s="15">
        <f t="shared" si="5"/>
        <v>0.08260275783074143</v>
      </c>
      <c r="N31" s="36">
        <f t="shared" si="6"/>
        <v>9.775540918373633</v>
      </c>
      <c r="O31" s="20">
        <f t="shared" si="6"/>
        <v>0.5682114372100298</v>
      </c>
      <c r="P31" s="29">
        <f t="shared" si="6"/>
        <v>0.08260275783074143</v>
      </c>
      <c r="Q31" s="43"/>
    </row>
    <row r="32" spans="1:17" ht="18" customHeight="1" thickBot="1">
      <c r="A32" s="12" t="s">
        <v>11</v>
      </c>
      <c r="B32" s="37">
        <v>0</v>
      </c>
      <c r="C32" s="21">
        <v>0</v>
      </c>
      <c r="D32" s="30">
        <v>0</v>
      </c>
      <c r="E32" s="37">
        <v>0</v>
      </c>
      <c r="F32" s="21">
        <v>0</v>
      </c>
      <c r="G32" s="30">
        <v>0</v>
      </c>
      <c r="H32" s="37">
        <f t="shared" si="7"/>
        <v>0</v>
      </c>
      <c r="I32" s="25">
        <f t="shared" si="7"/>
        <v>0</v>
      </c>
      <c r="J32" s="34">
        <f t="shared" si="7"/>
        <v>0</v>
      </c>
      <c r="K32" s="19" t="e">
        <f t="shared" si="5"/>
        <v>#DIV/0!</v>
      </c>
      <c r="L32" s="16">
        <v>0</v>
      </c>
      <c r="M32" s="16" t="e">
        <f t="shared" si="5"/>
        <v>#DIV/0!</v>
      </c>
      <c r="N32" s="36">
        <v>0</v>
      </c>
      <c r="O32" s="21">
        <v>0</v>
      </c>
      <c r="P32" s="29">
        <v>0</v>
      </c>
      <c r="Q32" s="43"/>
    </row>
    <row r="33" spans="1:17" ht="14.25" customHeight="1" thickBot="1">
      <c r="A33" s="13" t="s">
        <v>31</v>
      </c>
      <c r="B33" s="40">
        <f aca="true" t="shared" si="8" ref="B33:G33">SUM(B30:B32)</f>
        <v>864172</v>
      </c>
      <c r="C33" s="24">
        <f t="shared" si="8"/>
        <v>16354.8</v>
      </c>
      <c r="D33" s="33">
        <f t="shared" si="8"/>
        <v>33626.1</v>
      </c>
      <c r="E33" s="40">
        <f t="shared" si="8"/>
        <v>78698.1</v>
      </c>
      <c r="F33" s="24">
        <f t="shared" si="8"/>
        <v>1214</v>
      </c>
      <c r="G33" s="33">
        <f t="shared" si="8"/>
        <v>2010.7</v>
      </c>
      <c r="H33" s="51">
        <f t="shared" si="7"/>
        <v>-785473.9</v>
      </c>
      <c r="I33" s="52">
        <f t="shared" si="7"/>
        <v>-15140.8</v>
      </c>
      <c r="J33" s="53">
        <f t="shared" si="7"/>
        <v>-31615.399999999998</v>
      </c>
      <c r="K33" s="56">
        <f>E33/B33*100</f>
        <v>9.10676346838361</v>
      </c>
      <c r="L33" s="18">
        <f>F33/C33*100</f>
        <v>7.422897253405729</v>
      </c>
      <c r="M33" s="18">
        <f>G33/D33*100</f>
        <v>5.97958133711611</v>
      </c>
      <c r="N33" s="49">
        <f t="shared" si="6"/>
        <v>9.10676346838361</v>
      </c>
      <c r="O33" s="52">
        <f t="shared" si="6"/>
        <v>7.422897253405729</v>
      </c>
      <c r="P33" s="55">
        <f t="shared" si="6"/>
        <v>5.97958133711611</v>
      </c>
      <c r="Q33" s="43"/>
    </row>
    <row r="34" spans="1:17" ht="27" customHeight="1" thickBot="1">
      <c r="A34" s="14" t="s">
        <v>30</v>
      </c>
      <c r="B34" s="41">
        <v>0</v>
      </c>
      <c r="C34" s="25">
        <v>0</v>
      </c>
      <c r="D34" s="34">
        <v>0</v>
      </c>
      <c r="E34" s="41">
        <f>6-2605.4</f>
        <v>-2599.4</v>
      </c>
      <c r="F34" s="25">
        <f>16.4-748.2</f>
        <v>-731.8000000000001</v>
      </c>
      <c r="G34" s="34">
        <v>-25.1</v>
      </c>
      <c r="H34" s="41">
        <f t="shared" si="7"/>
        <v>-2599.4</v>
      </c>
      <c r="I34" s="25">
        <f t="shared" si="7"/>
        <v>-731.8000000000001</v>
      </c>
      <c r="J34" s="34">
        <f t="shared" si="7"/>
        <v>-25.1</v>
      </c>
      <c r="K34" s="45">
        <v>0</v>
      </c>
      <c r="L34" s="46">
        <v>0</v>
      </c>
      <c r="M34" s="47">
        <v>0</v>
      </c>
      <c r="N34" s="41">
        <v>0</v>
      </c>
      <c r="O34" s="25">
        <v>0</v>
      </c>
      <c r="P34" s="54">
        <v>0</v>
      </c>
      <c r="Q34" s="43"/>
    </row>
    <row r="35" spans="1:17" ht="15" customHeight="1" thickBot="1">
      <c r="A35" s="6" t="s">
        <v>15</v>
      </c>
      <c r="B35" s="40">
        <f aca="true" t="shared" si="9" ref="B35:G35">B29+B33+B34</f>
        <v>1247104.6</v>
      </c>
      <c r="C35" s="24">
        <f t="shared" si="9"/>
        <v>241780.19999999998</v>
      </c>
      <c r="D35" s="33">
        <f t="shared" si="9"/>
        <v>69061.6</v>
      </c>
      <c r="E35" s="49">
        <f t="shared" si="9"/>
        <v>100615.30000000002</v>
      </c>
      <c r="F35" s="28">
        <f t="shared" si="9"/>
        <v>15557.800000000003</v>
      </c>
      <c r="G35" s="42">
        <f t="shared" si="9"/>
        <v>3742</v>
      </c>
      <c r="H35" s="51">
        <f t="shared" si="7"/>
        <v>-1146489.3</v>
      </c>
      <c r="I35" s="52">
        <f t="shared" si="7"/>
        <v>-226222.39999999997</v>
      </c>
      <c r="J35" s="53">
        <f t="shared" si="7"/>
        <v>-65319.600000000006</v>
      </c>
      <c r="K35" s="44">
        <f>E35/B35*100</f>
        <v>8.067911865612556</v>
      </c>
      <c r="L35" s="44">
        <f>F35/C35*100</f>
        <v>6.434687373076871</v>
      </c>
      <c r="M35" s="18">
        <f>G35/D35*100</f>
        <v>5.418351153173399</v>
      </c>
      <c r="N35" s="49">
        <f t="shared" si="6"/>
        <v>8.067911865612556</v>
      </c>
      <c r="O35" s="52">
        <f t="shared" si="6"/>
        <v>6.434687373076871</v>
      </c>
      <c r="P35" s="55">
        <f t="shared" si="6"/>
        <v>5.418351153173399</v>
      </c>
      <c r="Q35" s="43"/>
    </row>
    <row r="36" spans="8:17" ht="12.75">
      <c r="H36" s="43"/>
      <c r="I36" s="43"/>
      <c r="J36" s="43"/>
      <c r="Q36" s="43"/>
    </row>
    <row r="37" spans="1:16" ht="12.75">
      <c r="A37" t="s">
        <v>36</v>
      </c>
      <c r="B37" s="58"/>
      <c r="C37" s="58"/>
      <c r="D37" s="5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2:8" ht="12.75">
      <c r="B38" s="43"/>
      <c r="C38" s="43"/>
      <c r="D38" s="43"/>
      <c r="E38" s="43"/>
      <c r="F38" s="43"/>
      <c r="G38" s="43"/>
      <c r="H38" s="43"/>
    </row>
    <row r="39" ht="12.75">
      <c r="E39" s="50"/>
    </row>
    <row r="41" spans="6:8" ht="12.75">
      <c r="F41" s="43"/>
      <c r="H41" s="43"/>
    </row>
  </sheetData>
  <sheetProtection/>
  <mergeCells count="6">
    <mergeCell ref="A2:P2"/>
    <mergeCell ref="B4:D4"/>
    <mergeCell ref="E4:G4"/>
    <mergeCell ref="H4:J4"/>
    <mergeCell ref="K4:M4"/>
    <mergeCell ref="N4:P4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32.75390625" style="0" customWidth="1"/>
    <col min="2" max="2" width="11.125" style="0" customWidth="1"/>
    <col min="3" max="4" width="9.875" style="0" customWidth="1"/>
    <col min="5" max="5" width="12.125" style="0" customWidth="1"/>
    <col min="6" max="6" width="10.00390625" style="0" customWidth="1"/>
    <col min="7" max="7" width="10.125" style="0" customWidth="1"/>
    <col min="8" max="8" width="11.375" style="0" customWidth="1"/>
    <col min="9" max="9" width="10.625" style="0" customWidth="1"/>
    <col min="10" max="10" width="10.125" style="0" customWidth="1"/>
    <col min="11" max="12" width="9.25390625" style="0" hidden="1" customWidth="1"/>
    <col min="13" max="13" width="0.6171875" style="0" hidden="1" customWidth="1"/>
    <col min="14" max="14" width="10.75390625" style="0" customWidth="1"/>
    <col min="15" max="15" width="10.25390625" style="0" customWidth="1"/>
    <col min="16" max="16" width="9.75390625" style="0" customWidth="1"/>
    <col min="17" max="17" width="11.625" style="0" customWidth="1"/>
  </cols>
  <sheetData>
    <row r="2" spans="1:16" ht="18.75" customHeight="1">
      <c r="A2" s="62" t="s">
        <v>49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4" spans="1:16" ht="15.75">
      <c r="A4" s="2" t="s">
        <v>12</v>
      </c>
      <c r="B4" s="64" t="s">
        <v>38</v>
      </c>
      <c r="C4" s="65"/>
      <c r="D4" s="66"/>
      <c r="E4" s="64" t="s">
        <v>34</v>
      </c>
      <c r="F4" s="65"/>
      <c r="G4" s="66"/>
      <c r="H4" s="64" t="s">
        <v>35</v>
      </c>
      <c r="I4" s="65"/>
      <c r="J4" s="66"/>
      <c r="K4" s="64" t="s">
        <v>27</v>
      </c>
      <c r="L4" s="65"/>
      <c r="M4" s="66"/>
      <c r="N4" s="64" t="s">
        <v>27</v>
      </c>
      <c r="O4" s="65"/>
      <c r="P4" s="66"/>
    </row>
    <row r="5" spans="1:16" ht="29.25" customHeight="1">
      <c r="A5" s="3"/>
      <c r="B5" s="1" t="s">
        <v>25</v>
      </c>
      <c r="C5" s="1" t="s">
        <v>26</v>
      </c>
      <c r="D5" s="5" t="s">
        <v>28</v>
      </c>
      <c r="E5" s="1" t="s">
        <v>25</v>
      </c>
      <c r="F5" s="1" t="s">
        <v>26</v>
      </c>
      <c r="G5" s="1" t="s">
        <v>28</v>
      </c>
      <c r="H5" s="1" t="s">
        <v>25</v>
      </c>
      <c r="I5" s="1" t="s">
        <v>26</v>
      </c>
      <c r="J5" s="1" t="s">
        <v>28</v>
      </c>
      <c r="K5" s="1" t="s">
        <v>25</v>
      </c>
      <c r="L5" s="1" t="s">
        <v>26</v>
      </c>
      <c r="M5" s="1" t="s">
        <v>28</v>
      </c>
      <c r="N5" s="1" t="s">
        <v>25</v>
      </c>
      <c r="O5" s="1" t="s">
        <v>26</v>
      </c>
      <c r="P5" s="1" t="s">
        <v>28</v>
      </c>
    </row>
    <row r="6" spans="1:16" ht="12.75">
      <c r="A6" s="5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11</v>
      </c>
      <c r="O6" s="4">
        <v>12</v>
      </c>
      <c r="P6" s="4">
        <v>13</v>
      </c>
    </row>
    <row r="7" spans="1:19" ht="13.5" customHeight="1">
      <c r="A7" s="7" t="s">
        <v>0</v>
      </c>
      <c r="B7" s="36">
        <v>241658.6</v>
      </c>
      <c r="C7" s="20">
        <v>80380.1</v>
      </c>
      <c r="D7" s="29">
        <v>9805.4</v>
      </c>
      <c r="E7" s="36">
        <v>179096.4</v>
      </c>
      <c r="F7" s="20">
        <v>57745.1</v>
      </c>
      <c r="G7" s="29">
        <v>8102.5</v>
      </c>
      <c r="H7" s="36">
        <f>E7-B7</f>
        <v>-62562.20000000001</v>
      </c>
      <c r="I7" s="20">
        <f>F7-C7</f>
        <v>-22635.000000000007</v>
      </c>
      <c r="J7" s="29">
        <f>G7-D7</f>
        <v>-1702.8999999999996</v>
      </c>
      <c r="K7" s="15">
        <f aca="true" t="shared" si="0" ref="K7:M9">E7/B7*100</f>
        <v>74.11132895746313</v>
      </c>
      <c r="L7" s="15">
        <f t="shared" si="0"/>
        <v>71.84004498625903</v>
      </c>
      <c r="M7" s="15">
        <f t="shared" si="0"/>
        <v>82.6330389377282</v>
      </c>
      <c r="N7" s="36">
        <f>E7/B7*100</f>
        <v>74.11132895746313</v>
      </c>
      <c r="O7" s="20">
        <f>F7/C7*100</f>
        <v>71.84004498625903</v>
      </c>
      <c r="P7" s="29">
        <f>G7/D7*100</f>
        <v>82.6330389377282</v>
      </c>
      <c r="Q7" s="43"/>
      <c r="R7" s="43"/>
      <c r="S7" s="43"/>
    </row>
    <row r="8" spans="1:17" ht="12.75">
      <c r="A8" s="7" t="s">
        <v>23</v>
      </c>
      <c r="B8" s="36">
        <v>5739.9</v>
      </c>
      <c r="C8" s="20">
        <v>3709.8</v>
      </c>
      <c r="D8" s="29">
        <v>3351.8</v>
      </c>
      <c r="E8" s="36">
        <v>4946.6</v>
      </c>
      <c r="F8" s="20">
        <v>3440.6</v>
      </c>
      <c r="G8" s="29">
        <v>3142.6</v>
      </c>
      <c r="H8" s="36">
        <f aca="true" t="shared" si="1" ref="H8:J29">E8-B8</f>
        <v>-793.2999999999993</v>
      </c>
      <c r="I8" s="20">
        <f t="shared" si="1"/>
        <v>-269.2000000000003</v>
      </c>
      <c r="J8" s="29">
        <f t="shared" si="1"/>
        <v>-209.20000000000027</v>
      </c>
      <c r="K8" s="15">
        <f t="shared" si="0"/>
        <v>86.17920172825312</v>
      </c>
      <c r="L8" s="15">
        <f t="shared" si="0"/>
        <v>92.743544126368</v>
      </c>
      <c r="M8" s="15">
        <f t="shared" si="0"/>
        <v>93.7585774807566</v>
      </c>
      <c r="N8" s="36">
        <f aca="true" t="shared" si="2" ref="N8:N27">E8/B8*100</f>
        <v>86.17920172825312</v>
      </c>
      <c r="O8" s="20">
        <f aca="true" t="shared" si="3" ref="O8:O27">F8/C8*100</f>
        <v>92.743544126368</v>
      </c>
      <c r="P8" s="29">
        <f aca="true" t="shared" si="4" ref="P8:P27">G8/D8*100</f>
        <v>93.7585774807566</v>
      </c>
      <c r="Q8" s="43"/>
    </row>
    <row r="9" spans="1:17" ht="15.75" customHeight="1">
      <c r="A9" s="7" t="s">
        <v>1</v>
      </c>
      <c r="B9" s="36">
        <v>21178.8</v>
      </c>
      <c r="C9" s="20">
        <v>2150</v>
      </c>
      <c r="D9" s="29">
        <v>169.5</v>
      </c>
      <c r="E9" s="36">
        <v>15484.7</v>
      </c>
      <c r="F9" s="20">
        <v>1620.4</v>
      </c>
      <c r="G9" s="29">
        <v>100.1</v>
      </c>
      <c r="H9" s="36">
        <f t="shared" si="1"/>
        <v>-5694.0999999999985</v>
      </c>
      <c r="I9" s="20">
        <f t="shared" si="1"/>
        <v>-529.5999999999999</v>
      </c>
      <c r="J9" s="29">
        <f t="shared" si="1"/>
        <v>-69.4</v>
      </c>
      <c r="K9" s="15">
        <f t="shared" si="0"/>
        <v>73.1141518877368</v>
      </c>
      <c r="L9" s="15">
        <f t="shared" si="0"/>
        <v>75.36744186046512</v>
      </c>
      <c r="M9" s="15">
        <f t="shared" si="0"/>
        <v>59.05604719764012</v>
      </c>
      <c r="N9" s="36">
        <f t="shared" si="2"/>
        <v>73.1141518877368</v>
      </c>
      <c r="O9" s="20">
        <f t="shared" si="3"/>
        <v>75.36744186046512</v>
      </c>
      <c r="P9" s="29">
        <f t="shared" si="4"/>
        <v>59.05604719764012</v>
      </c>
      <c r="Q9" s="43"/>
    </row>
    <row r="10" spans="1:17" ht="15" customHeight="1">
      <c r="A10" s="7" t="s">
        <v>2</v>
      </c>
      <c r="B10" s="36">
        <v>0</v>
      </c>
      <c r="C10" s="20">
        <v>190.1</v>
      </c>
      <c r="D10" s="29">
        <v>12</v>
      </c>
      <c r="E10" s="36">
        <v>0</v>
      </c>
      <c r="F10" s="20">
        <v>814.8</v>
      </c>
      <c r="G10" s="29">
        <v>17.5</v>
      </c>
      <c r="H10" s="36">
        <f t="shared" si="1"/>
        <v>0</v>
      </c>
      <c r="I10" s="20">
        <f t="shared" si="1"/>
        <v>624.6999999999999</v>
      </c>
      <c r="J10" s="29">
        <f t="shared" si="1"/>
        <v>5.5</v>
      </c>
      <c r="K10" s="15">
        <v>0</v>
      </c>
      <c r="L10" s="15">
        <f>F10/C10*100</f>
        <v>428.616517622304</v>
      </c>
      <c r="M10" s="15">
        <f>G10/D10*100</f>
        <v>145.83333333333331</v>
      </c>
      <c r="N10" s="36">
        <v>0</v>
      </c>
      <c r="O10" s="20">
        <f t="shared" si="3"/>
        <v>428.616517622304</v>
      </c>
      <c r="P10" s="29">
        <f t="shared" si="4"/>
        <v>145.83333333333331</v>
      </c>
      <c r="Q10" s="43"/>
    </row>
    <row r="11" spans="1:17" ht="24" customHeight="1">
      <c r="A11" s="7" t="s">
        <v>22</v>
      </c>
      <c r="B11" s="36">
        <v>890.4</v>
      </c>
      <c r="C11" s="20">
        <v>0</v>
      </c>
      <c r="D11" s="29">
        <v>0</v>
      </c>
      <c r="E11" s="36">
        <v>700.9</v>
      </c>
      <c r="F11" s="20">
        <v>0</v>
      </c>
      <c r="G11" s="29">
        <v>0</v>
      </c>
      <c r="H11" s="36">
        <f t="shared" si="1"/>
        <v>-189.5</v>
      </c>
      <c r="I11" s="20">
        <f t="shared" si="1"/>
        <v>0</v>
      </c>
      <c r="J11" s="29">
        <f t="shared" si="1"/>
        <v>0</v>
      </c>
      <c r="K11" s="15">
        <f>E11/B11*100</f>
        <v>78.71743036837377</v>
      </c>
      <c r="L11" s="15">
        <v>0</v>
      </c>
      <c r="M11" s="15">
        <v>0</v>
      </c>
      <c r="N11" s="36">
        <f t="shared" si="2"/>
        <v>78.71743036837377</v>
      </c>
      <c r="O11" s="20">
        <v>0</v>
      </c>
      <c r="P11" s="29">
        <v>0</v>
      </c>
      <c r="Q11" s="43"/>
    </row>
    <row r="12" spans="1:17" ht="14.25" customHeight="1">
      <c r="A12" s="57" t="s">
        <v>16</v>
      </c>
      <c r="B12" s="36">
        <v>0</v>
      </c>
      <c r="C12" s="20">
        <v>23723.4</v>
      </c>
      <c r="D12" s="29">
        <v>3200</v>
      </c>
      <c r="E12" s="36">
        <v>0</v>
      </c>
      <c r="F12" s="20">
        <v>12601.8</v>
      </c>
      <c r="G12" s="29">
        <v>1808.7</v>
      </c>
      <c r="H12" s="36">
        <f t="shared" si="1"/>
        <v>0</v>
      </c>
      <c r="I12" s="20">
        <f t="shared" si="1"/>
        <v>-11121.600000000002</v>
      </c>
      <c r="J12" s="29">
        <f t="shared" si="1"/>
        <v>-1391.3</v>
      </c>
      <c r="K12" s="15">
        <v>0</v>
      </c>
      <c r="L12" s="15">
        <f aca="true" t="shared" si="5" ref="L12:M15">F12/C12*100</f>
        <v>53.1197045954627</v>
      </c>
      <c r="M12" s="15">
        <f t="shared" si="5"/>
        <v>56.521875</v>
      </c>
      <c r="N12" s="36">
        <v>0</v>
      </c>
      <c r="O12" s="20">
        <f t="shared" si="3"/>
        <v>53.1197045954627</v>
      </c>
      <c r="P12" s="29">
        <f t="shared" si="4"/>
        <v>56.521875</v>
      </c>
      <c r="Q12" s="43"/>
    </row>
    <row r="13" spans="1:17" ht="15" customHeight="1">
      <c r="A13" s="7" t="s">
        <v>18</v>
      </c>
      <c r="B13" s="36">
        <v>7336.8</v>
      </c>
      <c r="C13" s="20">
        <v>7800</v>
      </c>
      <c r="D13" s="29">
        <v>139.9</v>
      </c>
      <c r="E13" s="36">
        <v>7043.1</v>
      </c>
      <c r="F13" s="26">
        <v>6949.1</v>
      </c>
      <c r="G13" s="35">
        <v>94</v>
      </c>
      <c r="H13" s="36">
        <f t="shared" si="1"/>
        <v>-293.6999999999998</v>
      </c>
      <c r="I13" s="20">
        <f t="shared" si="1"/>
        <v>-850.8999999999996</v>
      </c>
      <c r="J13" s="29">
        <f t="shared" si="1"/>
        <v>-45.900000000000006</v>
      </c>
      <c r="K13" s="15">
        <f>E13/B13*100</f>
        <v>95.99689237814852</v>
      </c>
      <c r="L13" s="15">
        <f t="shared" si="5"/>
        <v>89.09102564102565</v>
      </c>
      <c r="M13" s="15">
        <f t="shared" si="5"/>
        <v>67.19085060757683</v>
      </c>
      <c r="N13" s="36">
        <f t="shared" si="2"/>
        <v>95.99689237814852</v>
      </c>
      <c r="O13" s="20">
        <f t="shared" si="3"/>
        <v>89.09102564102565</v>
      </c>
      <c r="P13" s="29">
        <f t="shared" si="4"/>
        <v>67.19085060757683</v>
      </c>
      <c r="Q13" s="43"/>
    </row>
    <row r="14" spans="1:17" ht="15" customHeight="1">
      <c r="A14" s="57" t="s">
        <v>19</v>
      </c>
      <c r="B14" s="36">
        <v>24387</v>
      </c>
      <c r="C14" s="20">
        <v>18500</v>
      </c>
      <c r="D14" s="29">
        <v>2650.7</v>
      </c>
      <c r="E14" s="36">
        <v>14966.4</v>
      </c>
      <c r="F14" s="20">
        <v>13017.8</v>
      </c>
      <c r="G14" s="35">
        <v>1948.6</v>
      </c>
      <c r="H14" s="36">
        <f t="shared" si="1"/>
        <v>-9420.6</v>
      </c>
      <c r="I14" s="20">
        <f t="shared" si="1"/>
        <v>-5482.200000000001</v>
      </c>
      <c r="J14" s="29">
        <f t="shared" si="1"/>
        <v>-702.0999999999999</v>
      </c>
      <c r="K14" s="15">
        <f>E14/B14*100</f>
        <v>61.37040226350104</v>
      </c>
      <c r="L14" s="15">
        <f t="shared" si="5"/>
        <v>70.36648648648648</v>
      </c>
      <c r="M14" s="15">
        <f t="shared" si="5"/>
        <v>73.51265703399102</v>
      </c>
      <c r="N14" s="36">
        <f t="shared" si="2"/>
        <v>61.37040226350104</v>
      </c>
      <c r="O14" s="20">
        <f t="shared" si="3"/>
        <v>70.36648648648648</v>
      </c>
      <c r="P14" s="29">
        <f t="shared" si="4"/>
        <v>73.51265703399102</v>
      </c>
      <c r="Q14" s="43"/>
    </row>
    <row r="15" spans="1:17" ht="15.75" customHeight="1">
      <c r="A15" s="7" t="s">
        <v>8</v>
      </c>
      <c r="B15" s="36">
        <v>0</v>
      </c>
      <c r="C15" s="20">
        <v>55210</v>
      </c>
      <c r="D15" s="29">
        <v>14593.6</v>
      </c>
      <c r="E15" s="36">
        <v>0</v>
      </c>
      <c r="F15" s="20">
        <v>47672.5</v>
      </c>
      <c r="G15" s="29">
        <v>10670.4</v>
      </c>
      <c r="H15" s="36">
        <f t="shared" si="1"/>
        <v>0</v>
      </c>
      <c r="I15" s="20">
        <f t="shared" si="1"/>
        <v>-7537.5</v>
      </c>
      <c r="J15" s="29">
        <f t="shared" si="1"/>
        <v>-3923.2000000000007</v>
      </c>
      <c r="K15" s="15">
        <v>0</v>
      </c>
      <c r="L15" s="15">
        <f t="shared" si="5"/>
        <v>86.34758195978989</v>
      </c>
      <c r="M15" s="15">
        <f t="shared" si="5"/>
        <v>73.1169827869751</v>
      </c>
      <c r="N15" s="36">
        <v>0</v>
      </c>
      <c r="O15" s="20">
        <f t="shared" si="3"/>
        <v>86.34758195978989</v>
      </c>
      <c r="P15" s="29">
        <f t="shared" si="4"/>
        <v>73.1169827869751</v>
      </c>
      <c r="Q15" s="43"/>
    </row>
    <row r="16" spans="1:17" ht="15" customHeight="1">
      <c r="A16" s="7" t="s">
        <v>3</v>
      </c>
      <c r="B16" s="36">
        <v>9512.8</v>
      </c>
      <c r="C16" s="20">
        <v>0</v>
      </c>
      <c r="D16" s="29">
        <v>63.5</v>
      </c>
      <c r="E16" s="36">
        <v>7590.8</v>
      </c>
      <c r="F16" s="20">
        <v>0</v>
      </c>
      <c r="G16" s="29">
        <v>36.2</v>
      </c>
      <c r="H16" s="36">
        <f t="shared" si="1"/>
        <v>-1921.999999999999</v>
      </c>
      <c r="I16" s="20">
        <f t="shared" si="1"/>
        <v>0</v>
      </c>
      <c r="J16" s="29">
        <f t="shared" si="1"/>
        <v>-27.299999999999997</v>
      </c>
      <c r="K16" s="15">
        <f>E16/B16*100</f>
        <v>79.79564376419141</v>
      </c>
      <c r="L16" s="15">
        <v>0</v>
      </c>
      <c r="M16" s="15">
        <f>G16/D16*100</f>
        <v>57.00787401574804</v>
      </c>
      <c r="N16" s="36">
        <f t="shared" si="2"/>
        <v>79.79564376419141</v>
      </c>
      <c r="O16" s="20">
        <v>0</v>
      </c>
      <c r="P16" s="29">
        <f t="shared" si="4"/>
        <v>57.00787401574804</v>
      </c>
      <c r="Q16" s="43"/>
    </row>
    <row r="17" spans="1:17" ht="15" customHeight="1">
      <c r="A17" s="59" t="s">
        <v>33</v>
      </c>
      <c r="B17" s="36">
        <v>0</v>
      </c>
      <c r="C17" s="20">
        <v>0</v>
      </c>
      <c r="D17" s="29">
        <v>0</v>
      </c>
      <c r="E17" s="36">
        <v>0</v>
      </c>
      <c r="F17" s="20">
        <v>0</v>
      </c>
      <c r="G17" s="29">
        <v>0</v>
      </c>
      <c r="H17" s="36">
        <f t="shared" si="1"/>
        <v>0</v>
      </c>
      <c r="I17" s="20">
        <f t="shared" si="1"/>
        <v>0</v>
      </c>
      <c r="J17" s="29">
        <f t="shared" si="1"/>
        <v>0</v>
      </c>
      <c r="K17" s="15">
        <v>0</v>
      </c>
      <c r="L17" s="15">
        <v>0</v>
      </c>
      <c r="M17" s="15">
        <v>0</v>
      </c>
      <c r="N17" s="36">
        <v>0</v>
      </c>
      <c r="O17" s="20">
        <v>0</v>
      </c>
      <c r="P17" s="29">
        <v>0</v>
      </c>
      <c r="Q17" s="43"/>
    </row>
    <row r="18" spans="1:17" ht="16.5" customHeight="1">
      <c r="A18" s="59" t="s">
        <v>13</v>
      </c>
      <c r="B18" s="36">
        <v>47768</v>
      </c>
      <c r="C18" s="20">
        <f>14600+454</f>
        <v>15054</v>
      </c>
      <c r="D18" s="29">
        <v>0</v>
      </c>
      <c r="E18" s="36">
        <f>35123.9+465</f>
        <v>35588.9</v>
      </c>
      <c r="F18" s="20">
        <f>12561.2+478.2+75.4</f>
        <v>13114.800000000001</v>
      </c>
      <c r="G18" s="29">
        <f>9.5+15</f>
        <v>24.5</v>
      </c>
      <c r="H18" s="36">
        <f t="shared" si="1"/>
        <v>-12179.099999999999</v>
      </c>
      <c r="I18" s="20">
        <f t="shared" si="1"/>
        <v>-1939.199999999999</v>
      </c>
      <c r="J18" s="29">
        <f t="shared" si="1"/>
        <v>24.5</v>
      </c>
      <c r="K18" s="15">
        <f aca="true" t="shared" si="6" ref="K18:L27">E18/B18*100</f>
        <v>74.50364260592866</v>
      </c>
      <c r="L18" s="15">
        <f t="shared" si="6"/>
        <v>87.11837385412515</v>
      </c>
      <c r="M18" s="15">
        <v>0</v>
      </c>
      <c r="N18" s="36">
        <f t="shared" si="2"/>
        <v>74.50364260592866</v>
      </c>
      <c r="O18" s="20">
        <f t="shared" si="3"/>
        <v>87.11837385412515</v>
      </c>
      <c r="P18" s="29">
        <v>0</v>
      </c>
      <c r="Q18" s="43"/>
    </row>
    <row r="19" spans="1:17" ht="15" customHeight="1">
      <c r="A19" s="57" t="s">
        <v>4</v>
      </c>
      <c r="B19" s="36">
        <v>4500</v>
      </c>
      <c r="C19" s="20">
        <v>2782</v>
      </c>
      <c r="D19" s="29">
        <v>558.8</v>
      </c>
      <c r="E19" s="36">
        <v>4310.4</v>
      </c>
      <c r="F19" s="20">
        <v>2200.1</v>
      </c>
      <c r="G19" s="29">
        <v>318.8</v>
      </c>
      <c r="H19" s="36">
        <f t="shared" si="1"/>
        <v>-189.60000000000036</v>
      </c>
      <c r="I19" s="20">
        <f t="shared" si="1"/>
        <v>-581.9000000000001</v>
      </c>
      <c r="J19" s="29">
        <f t="shared" si="1"/>
        <v>-239.99999999999994</v>
      </c>
      <c r="K19" s="15">
        <f t="shared" si="6"/>
        <v>95.78666666666665</v>
      </c>
      <c r="L19" s="15">
        <f t="shared" si="6"/>
        <v>79.08339324227175</v>
      </c>
      <c r="M19" s="15">
        <f>G19/D19*100</f>
        <v>57.05082319255548</v>
      </c>
      <c r="N19" s="36">
        <f t="shared" si="2"/>
        <v>95.78666666666665</v>
      </c>
      <c r="O19" s="20">
        <f t="shared" si="3"/>
        <v>79.08339324227175</v>
      </c>
      <c r="P19" s="29">
        <f t="shared" si="4"/>
        <v>57.05082319255548</v>
      </c>
      <c r="Q19" s="43"/>
    </row>
    <row r="20" spans="1:17" ht="27" customHeight="1">
      <c r="A20" s="59" t="s">
        <v>24</v>
      </c>
      <c r="B20" s="36">
        <f>667+101.6</f>
        <v>768.6</v>
      </c>
      <c r="C20" s="20">
        <f>235.8+3085.5</f>
        <v>3321.3</v>
      </c>
      <c r="D20" s="29">
        <v>15</v>
      </c>
      <c r="E20" s="36">
        <v>91.6</v>
      </c>
      <c r="F20" s="20">
        <v>1983.2</v>
      </c>
      <c r="G20" s="29">
        <v>0</v>
      </c>
      <c r="H20" s="36">
        <f t="shared" si="1"/>
        <v>-677</v>
      </c>
      <c r="I20" s="20">
        <f t="shared" si="1"/>
        <v>-1338.1000000000001</v>
      </c>
      <c r="J20" s="29">
        <f t="shared" si="1"/>
        <v>-15</v>
      </c>
      <c r="K20" s="15">
        <f t="shared" si="6"/>
        <v>11.917772573510277</v>
      </c>
      <c r="L20" s="15">
        <f t="shared" si="6"/>
        <v>59.71155872700449</v>
      </c>
      <c r="M20" s="15">
        <v>0</v>
      </c>
      <c r="N20" s="36">
        <f t="shared" si="2"/>
        <v>11.917772573510277</v>
      </c>
      <c r="O20" s="20">
        <f t="shared" si="3"/>
        <v>59.71155872700449</v>
      </c>
      <c r="P20" s="29">
        <f t="shared" si="4"/>
        <v>0</v>
      </c>
      <c r="Q20" s="43"/>
    </row>
    <row r="21" spans="1:17" ht="16.5" customHeight="1">
      <c r="A21" s="57" t="s">
        <v>5</v>
      </c>
      <c r="B21" s="36">
        <v>6866</v>
      </c>
      <c r="C21" s="20">
        <v>0</v>
      </c>
      <c r="D21" s="29">
        <v>0</v>
      </c>
      <c r="E21" s="36">
        <v>3623.1</v>
      </c>
      <c r="F21" s="20">
        <v>0</v>
      </c>
      <c r="G21" s="29">
        <v>0</v>
      </c>
      <c r="H21" s="36">
        <f t="shared" si="1"/>
        <v>-3242.9</v>
      </c>
      <c r="I21" s="20">
        <f t="shared" si="1"/>
        <v>0</v>
      </c>
      <c r="J21" s="29">
        <f t="shared" si="1"/>
        <v>0</v>
      </c>
      <c r="K21" s="15">
        <f t="shared" si="6"/>
        <v>52.76871540926303</v>
      </c>
      <c r="L21" s="15">
        <v>0</v>
      </c>
      <c r="M21" s="15">
        <v>0</v>
      </c>
      <c r="N21" s="36">
        <f t="shared" si="2"/>
        <v>52.76871540926303</v>
      </c>
      <c r="O21" s="20">
        <v>0</v>
      </c>
      <c r="P21" s="29">
        <v>0</v>
      </c>
      <c r="Q21" s="43"/>
    </row>
    <row r="22" spans="1:17" ht="15.75" customHeight="1">
      <c r="A22" s="57" t="s">
        <v>20</v>
      </c>
      <c r="B22" s="36">
        <v>3680.7</v>
      </c>
      <c r="C22" s="20">
        <v>276.2</v>
      </c>
      <c r="D22" s="29">
        <v>0</v>
      </c>
      <c r="E22" s="36">
        <v>2121.4</v>
      </c>
      <c r="F22" s="20">
        <v>511.5</v>
      </c>
      <c r="G22" s="29">
        <v>51.7</v>
      </c>
      <c r="H22" s="36">
        <f t="shared" si="1"/>
        <v>-1559.2999999999997</v>
      </c>
      <c r="I22" s="20">
        <f t="shared" si="1"/>
        <v>235.3</v>
      </c>
      <c r="J22" s="29">
        <f t="shared" si="1"/>
        <v>51.7</v>
      </c>
      <c r="K22" s="15">
        <f t="shared" si="6"/>
        <v>57.63577580351564</v>
      </c>
      <c r="L22" s="15">
        <f>F22/C22*100</f>
        <v>185.19188993482985</v>
      </c>
      <c r="M22" s="15">
        <v>0</v>
      </c>
      <c r="N22" s="36">
        <f t="shared" si="2"/>
        <v>57.63577580351564</v>
      </c>
      <c r="O22" s="20">
        <f t="shared" si="3"/>
        <v>185.19188993482985</v>
      </c>
      <c r="P22" s="29">
        <v>0</v>
      </c>
      <c r="Q22" s="43"/>
    </row>
    <row r="23" spans="1:17" ht="15" customHeight="1">
      <c r="A23" s="57" t="s">
        <v>6</v>
      </c>
      <c r="B23" s="36">
        <v>103.5</v>
      </c>
      <c r="C23" s="20">
        <v>0</v>
      </c>
      <c r="D23" s="29">
        <v>0</v>
      </c>
      <c r="E23" s="36">
        <v>103.4</v>
      </c>
      <c r="F23" s="20">
        <v>0</v>
      </c>
      <c r="G23" s="29">
        <v>0</v>
      </c>
      <c r="H23" s="36">
        <f t="shared" si="1"/>
        <v>-0.09999999999999432</v>
      </c>
      <c r="I23" s="20">
        <f t="shared" si="1"/>
        <v>0</v>
      </c>
      <c r="J23" s="29">
        <f t="shared" si="1"/>
        <v>0</v>
      </c>
      <c r="K23" s="15">
        <f t="shared" si="6"/>
        <v>99.90338164251207</v>
      </c>
      <c r="L23" s="15" t="e">
        <f>F23/C23*100</f>
        <v>#DIV/0!</v>
      </c>
      <c r="M23" s="15">
        <v>0</v>
      </c>
      <c r="N23" s="36">
        <f t="shared" si="2"/>
        <v>99.90338164251207</v>
      </c>
      <c r="O23" s="20">
        <v>0</v>
      </c>
      <c r="P23" s="29">
        <v>0</v>
      </c>
      <c r="Q23" s="43"/>
    </row>
    <row r="24" spans="1:17" ht="15.75" customHeight="1">
      <c r="A24" s="57" t="s">
        <v>29</v>
      </c>
      <c r="B24" s="36">
        <v>1594</v>
      </c>
      <c r="C24" s="20">
        <v>6298.7</v>
      </c>
      <c r="D24" s="29">
        <v>2222.9</v>
      </c>
      <c r="E24" s="36">
        <v>135.5</v>
      </c>
      <c r="F24" s="20">
        <v>1170.5</v>
      </c>
      <c r="G24" s="29">
        <v>25.5</v>
      </c>
      <c r="H24" s="36">
        <f t="shared" si="1"/>
        <v>-1458.5</v>
      </c>
      <c r="I24" s="20">
        <f t="shared" si="1"/>
        <v>-5128.2</v>
      </c>
      <c r="J24" s="29">
        <f t="shared" si="1"/>
        <v>-2197.4</v>
      </c>
      <c r="K24" s="15">
        <f t="shared" si="6"/>
        <v>8.500627352572145</v>
      </c>
      <c r="L24" s="15">
        <f>F24/C24*100</f>
        <v>18.58319970787623</v>
      </c>
      <c r="M24" s="15">
        <f>G24/D24*100</f>
        <v>1.1471501192136397</v>
      </c>
      <c r="N24" s="36">
        <f t="shared" si="2"/>
        <v>8.500627352572145</v>
      </c>
      <c r="O24" s="20">
        <f t="shared" si="3"/>
        <v>18.58319970787623</v>
      </c>
      <c r="P24" s="29">
        <f t="shared" si="4"/>
        <v>1.1471501192136397</v>
      </c>
      <c r="Q24" s="43"/>
    </row>
    <row r="25" spans="1:17" ht="27" customHeight="1">
      <c r="A25" s="57" t="s">
        <v>17</v>
      </c>
      <c r="B25" s="36">
        <f>6772+374.2</f>
        <v>7146.2</v>
      </c>
      <c r="C25" s="20">
        <f>9349.3+385</f>
        <v>9734.3</v>
      </c>
      <c r="D25" s="29">
        <v>77.8</v>
      </c>
      <c r="E25" s="36">
        <f>6738.1+282</f>
        <v>7020.1</v>
      </c>
      <c r="F25" s="20">
        <f>7324.2+124.7</f>
        <v>7448.9</v>
      </c>
      <c r="G25" s="29">
        <v>-167.9</v>
      </c>
      <c r="H25" s="36">
        <f t="shared" si="1"/>
        <v>-126.09999999999945</v>
      </c>
      <c r="I25" s="20">
        <f t="shared" si="1"/>
        <v>-2285.3999999999996</v>
      </c>
      <c r="J25" s="29">
        <f t="shared" si="1"/>
        <v>-245.7</v>
      </c>
      <c r="K25" s="15">
        <f t="shared" si="6"/>
        <v>98.23542582071592</v>
      </c>
      <c r="L25" s="15">
        <f>F25/C25*100</f>
        <v>76.52219471353872</v>
      </c>
      <c r="M25" s="15">
        <v>0</v>
      </c>
      <c r="N25" s="36">
        <f t="shared" si="2"/>
        <v>98.23542582071592</v>
      </c>
      <c r="O25" s="20">
        <f t="shared" si="3"/>
        <v>76.52219471353872</v>
      </c>
      <c r="P25" s="29">
        <f t="shared" si="4"/>
        <v>-215.80976863753216</v>
      </c>
      <c r="Q25" s="43"/>
    </row>
    <row r="26" spans="1:17" ht="16.5" customHeight="1">
      <c r="A26" s="7" t="s">
        <v>7</v>
      </c>
      <c r="B26" s="36">
        <v>12553.5</v>
      </c>
      <c r="C26" s="20">
        <v>356.2</v>
      </c>
      <c r="D26" s="29">
        <v>66.9</v>
      </c>
      <c r="E26" s="48">
        <v>10026.2</v>
      </c>
      <c r="F26" s="26">
        <v>711.3</v>
      </c>
      <c r="G26" s="35">
        <v>162.8</v>
      </c>
      <c r="H26" s="36">
        <f t="shared" si="1"/>
        <v>-2527.2999999999993</v>
      </c>
      <c r="I26" s="20">
        <f t="shared" si="1"/>
        <v>355.09999999999997</v>
      </c>
      <c r="J26" s="29">
        <f t="shared" si="1"/>
        <v>95.9</v>
      </c>
      <c r="K26" s="15">
        <f t="shared" si="6"/>
        <v>79.867765961684</v>
      </c>
      <c r="L26" s="15">
        <f>F26/C26*100</f>
        <v>199.69118472768108</v>
      </c>
      <c r="M26" s="15">
        <f>G26/D26*100</f>
        <v>243.34828101644246</v>
      </c>
      <c r="N26" s="36">
        <f t="shared" si="2"/>
        <v>79.867765961684</v>
      </c>
      <c r="O26" s="20">
        <f t="shared" si="3"/>
        <v>199.69118472768108</v>
      </c>
      <c r="P26" s="29">
        <f t="shared" si="4"/>
        <v>243.34828101644246</v>
      </c>
      <c r="Q26" s="43"/>
    </row>
    <row r="27" spans="1:17" ht="14.25" customHeight="1">
      <c r="A27" s="7" t="s">
        <v>9</v>
      </c>
      <c r="B27" s="36">
        <v>135.5</v>
      </c>
      <c r="C27" s="20">
        <v>26.2</v>
      </c>
      <c r="D27" s="29">
        <f>74.6+279.6</f>
        <v>354.20000000000005</v>
      </c>
      <c r="E27" s="36">
        <v>121.2</v>
      </c>
      <c r="F27" s="20">
        <v>90.6</v>
      </c>
      <c r="G27" s="29">
        <f>61+154.8</f>
        <v>215.8</v>
      </c>
      <c r="H27" s="36">
        <f t="shared" si="1"/>
        <v>-14.299999999999997</v>
      </c>
      <c r="I27" s="20">
        <f t="shared" si="1"/>
        <v>64.39999999999999</v>
      </c>
      <c r="J27" s="29">
        <f t="shared" si="1"/>
        <v>-138.40000000000003</v>
      </c>
      <c r="K27" s="15">
        <f t="shared" si="6"/>
        <v>89.44649446494465</v>
      </c>
      <c r="L27" s="15">
        <v>0</v>
      </c>
      <c r="M27" s="15">
        <v>0</v>
      </c>
      <c r="N27" s="36">
        <f t="shared" si="2"/>
        <v>89.44649446494465</v>
      </c>
      <c r="O27" s="20">
        <f t="shared" si="3"/>
        <v>345.80152671755724</v>
      </c>
      <c r="P27" s="29">
        <f t="shared" si="4"/>
        <v>60.92603049124787</v>
      </c>
      <c r="Q27" s="43"/>
    </row>
    <row r="28" spans="1:17" ht="16.5" customHeight="1" thickBot="1">
      <c r="A28" s="8" t="s">
        <v>10</v>
      </c>
      <c r="B28" s="37">
        <v>0</v>
      </c>
      <c r="C28" s="21">
        <v>0</v>
      </c>
      <c r="D28" s="30">
        <v>0</v>
      </c>
      <c r="E28" s="37">
        <v>-13.6</v>
      </c>
      <c r="F28" s="25">
        <v>0</v>
      </c>
      <c r="G28" s="34">
        <v>0</v>
      </c>
      <c r="H28" s="37">
        <f t="shared" si="1"/>
        <v>-13.6</v>
      </c>
      <c r="I28" s="21">
        <f t="shared" si="1"/>
        <v>0</v>
      </c>
      <c r="J28" s="30">
        <f t="shared" si="1"/>
        <v>0</v>
      </c>
      <c r="K28" s="16">
        <v>0</v>
      </c>
      <c r="L28" s="16">
        <v>0</v>
      </c>
      <c r="M28" s="16">
        <v>0</v>
      </c>
      <c r="N28" s="36">
        <v>0</v>
      </c>
      <c r="O28" s="20">
        <v>0</v>
      </c>
      <c r="P28" s="29">
        <v>0</v>
      </c>
      <c r="Q28" s="43"/>
    </row>
    <row r="29" spans="1:17" ht="15" customHeight="1" thickBot="1">
      <c r="A29" s="9" t="s">
        <v>14</v>
      </c>
      <c r="B29" s="38">
        <f>B7+B8+B9+B10+B11+B13+B12+B14+B15+B16+B17+B18+B19+B20+B21+B22+B23+B24+B25+B26+B27+B28</f>
        <v>395820.3</v>
      </c>
      <c r="C29" s="22">
        <f>SUM(C7:C28)</f>
        <v>229512.30000000005</v>
      </c>
      <c r="D29" s="31">
        <f>SUM(D7:D28)</f>
        <v>37282.00000000001</v>
      </c>
      <c r="E29" s="38">
        <f>SUM(E7:E28)</f>
        <v>292957.10000000003</v>
      </c>
      <c r="F29" s="27">
        <f>SUM(F7:F28)</f>
        <v>171093</v>
      </c>
      <c r="G29" s="31">
        <f>SUM(G7:G28)</f>
        <v>26551.8</v>
      </c>
      <c r="H29" s="51">
        <f t="shared" si="1"/>
        <v>-102863.19999999995</v>
      </c>
      <c r="I29" s="52">
        <f t="shared" si="1"/>
        <v>-58419.30000000005</v>
      </c>
      <c r="J29" s="53">
        <f t="shared" si="1"/>
        <v>-10730.200000000008</v>
      </c>
      <c r="K29" s="44">
        <f aca="true" t="shared" si="7" ref="K29:M32">E29/B29*100</f>
        <v>74.01265170078443</v>
      </c>
      <c r="L29" s="44">
        <f t="shared" si="7"/>
        <v>74.54633150380174</v>
      </c>
      <c r="M29" s="18">
        <f t="shared" si="7"/>
        <v>71.21881873290057</v>
      </c>
      <c r="N29" s="49">
        <f aca="true" t="shared" si="8" ref="N29:P35">E29/B29*100</f>
        <v>74.01265170078443</v>
      </c>
      <c r="O29" s="52">
        <f t="shared" si="8"/>
        <v>74.54633150380174</v>
      </c>
      <c r="P29" s="55">
        <f t="shared" si="8"/>
        <v>71.21881873290057</v>
      </c>
      <c r="Q29" s="43"/>
    </row>
    <row r="30" spans="1:17" ht="26.25" customHeight="1">
      <c r="A30" s="10" t="s">
        <v>21</v>
      </c>
      <c r="B30" s="39">
        <v>153075.8</v>
      </c>
      <c r="C30" s="23">
        <v>14436.5</v>
      </c>
      <c r="D30" s="32">
        <v>24984.9</v>
      </c>
      <c r="E30" s="39">
        <v>127563.2</v>
      </c>
      <c r="F30" s="23">
        <v>12030.5</v>
      </c>
      <c r="G30" s="32">
        <v>19994.2</v>
      </c>
      <c r="H30" s="39">
        <f aca="true" t="shared" si="9" ref="H30:J35">E30-B30</f>
        <v>-25512.59999999999</v>
      </c>
      <c r="I30" s="23">
        <f t="shared" si="9"/>
        <v>-2406</v>
      </c>
      <c r="J30" s="32">
        <f t="shared" si="9"/>
        <v>-4990.700000000001</v>
      </c>
      <c r="K30" s="17">
        <f t="shared" si="7"/>
        <v>83.33335510903748</v>
      </c>
      <c r="L30" s="17">
        <f t="shared" si="7"/>
        <v>83.33391057389257</v>
      </c>
      <c r="M30" s="17">
        <f t="shared" si="7"/>
        <v>80.02513518164972</v>
      </c>
      <c r="N30" s="39">
        <f t="shared" si="8"/>
        <v>83.33335510903748</v>
      </c>
      <c r="O30" s="23">
        <f t="shared" si="8"/>
        <v>83.33391057389257</v>
      </c>
      <c r="P30" s="32">
        <f t="shared" si="8"/>
        <v>80.02513518164972</v>
      </c>
      <c r="Q30" s="43"/>
    </row>
    <row r="31" spans="1:17" ht="27.75" customHeight="1">
      <c r="A31" s="11" t="s">
        <v>32</v>
      </c>
      <c r="B31" s="36">
        <f>199827.8+608121.5+95322.7</f>
        <v>903272</v>
      </c>
      <c r="C31" s="20">
        <f>17977.1+1835.5+11510.9</f>
        <v>31323.5</v>
      </c>
      <c r="D31" s="29">
        <f>5902.5+808.8+17245.3</f>
        <v>23956.6</v>
      </c>
      <c r="E31" s="36">
        <f>168004.7+513453+55786.9</f>
        <v>737244.6</v>
      </c>
      <c r="F31" s="20">
        <f>17785.9+1835.5+3249.1</f>
        <v>22870.5</v>
      </c>
      <c r="G31" s="29">
        <f>3556.7+797+8547.8</f>
        <v>12901.5</v>
      </c>
      <c r="H31" s="36">
        <f>E31-B31</f>
        <v>-166027.40000000002</v>
      </c>
      <c r="I31" s="23">
        <f t="shared" si="9"/>
        <v>-8453</v>
      </c>
      <c r="J31" s="32">
        <f t="shared" si="9"/>
        <v>-11055.099999999999</v>
      </c>
      <c r="K31" s="17">
        <f t="shared" si="7"/>
        <v>81.61933503972224</v>
      </c>
      <c r="L31" s="15">
        <f t="shared" si="7"/>
        <v>73.01387137452711</v>
      </c>
      <c r="M31" s="15">
        <f t="shared" si="7"/>
        <v>53.85363532387735</v>
      </c>
      <c r="N31" s="36">
        <f t="shared" si="8"/>
        <v>81.61933503972224</v>
      </c>
      <c r="O31" s="20">
        <f t="shared" si="8"/>
        <v>73.01387137452711</v>
      </c>
      <c r="P31" s="29">
        <f t="shared" si="8"/>
        <v>53.85363532387735</v>
      </c>
      <c r="Q31" s="43"/>
    </row>
    <row r="32" spans="1:17" ht="18" customHeight="1" thickBot="1">
      <c r="A32" s="12" t="s">
        <v>11</v>
      </c>
      <c r="B32" s="37">
        <v>183.2</v>
      </c>
      <c r="C32" s="21">
        <v>196.3</v>
      </c>
      <c r="D32" s="30">
        <v>713.6</v>
      </c>
      <c r="E32" s="60">
        <v>183.2</v>
      </c>
      <c r="F32" s="21">
        <v>210.7</v>
      </c>
      <c r="G32" s="30">
        <v>713.6</v>
      </c>
      <c r="H32" s="37">
        <f>E34-B32</f>
        <v>-3350.0999999999995</v>
      </c>
      <c r="I32" s="25">
        <f t="shared" si="9"/>
        <v>14.399999999999977</v>
      </c>
      <c r="J32" s="34">
        <f t="shared" si="9"/>
        <v>0</v>
      </c>
      <c r="K32" s="19">
        <f>E34/B32*100</f>
        <v>-1728.6572052401746</v>
      </c>
      <c r="L32" s="16">
        <v>0</v>
      </c>
      <c r="M32" s="16">
        <f t="shared" si="7"/>
        <v>100</v>
      </c>
      <c r="N32" s="36">
        <f t="shared" si="8"/>
        <v>100</v>
      </c>
      <c r="O32" s="20">
        <f t="shared" si="8"/>
        <v>107.33571064696892</v>
      </c>
      <c r="P32" s="29">
        <f t="shared" si="8"/>
        <v>100</v>
      </c>
      <c r="Q32" s="43"/>
    </row>
    <row r="33" spans="1:17" ht="14.25" customHeight="1" thickBot="1">
      <c r="A33" s="13" t="s">
        <v>31</v>
      </c>
      <c r="B33" s="40">
        <f aca="true" t="shared" si="10" ref="B33:H33">SUM(B30:B32)</f>
        <v>1056531</v>
      </c>
      <c r="C33" s="24">
        <f t="shared" si="10"/>
        <v>45956.3</v>
      </c>
      <c r="D33" s="33">
        <f t="shared" si="10"/>
        <v>49655.1</v>
      </c>
      <c r="E33" s="40">
        <f>SUM(E30:E32)</f>
        <v>864990.9999999999</v>
      </c>
      <c r="F33" s="24">
        <f t="shared" si="10"/>
        <v>35111.7</v>
      </c>
      <c r="G33" s="33">
        <f t="shared" si="10"/>
        <v>33609.299999999996</v>
      </c>
      <c r="H33" s="61">
        <f t="shared" si="10"/>
        <v>-194890.1</v>
      </c>
      <c r="I33" s="52">
        <f t="shared" si="9"/>
        <v>-10844.600000000006</v>
      </c>
      <c r="J33" s="53">
        <f t="shared" si="9"/>
        <v>-16045.800000000003</v>
      </c>
      <c r="K33" s="56">
        <f>E33/B33*100</f>
        <v>81.8708584982362</v>
      </c>
      <c r="L33" s="18">
        <f>F33/C33*100</f>
        <v>76.40236485530818</v>
      </c>
      <c r="M33" s="18">
        <f>G33/D33*100</f>
        <v>67.6854945413462</v>
      </c>
      <c r="N33" s="49">
        <f t="shared" si="8"/>
        <v>81.8708584982362</v>
      </c>
      <c r="O33" s="52">
        <f t="shared" si="8"/>
        <v>76.40236485530818</v>
      </c>
      <c r="P33" s="55">
        <f t="shared" si="8"/>
        <v>67.6854945413462</v>
      </c>
      <c r="Q33" s="43"/>
    </row>
    <row r="34" spans="1:17" ht="27" customHeight="1" thickBot="1">
      <c r="A34" s="14" t="s">
        <v>50</v>
      </c>
      <c r="B34" s="41">
        <v>478.9</v>
      </c>
      <c r="C34" s="25">
        <v>6317.5</v>
      </c>
      <c r="D34" s="34">
        <v>81.6</v>
      </c>
      <c r="E34" s="37">
        <f>1897.8-5064.7</f>
        <v>-3166.8999999999996</v>
      </c>
      <c r="F34" s="25">
        <f>6333.9-1963.4</f>
        <v>4370.5</v>
      </c>
      <c r="G34" s="34">
        <f>94.3-69.4</f>
        <v>24.89999999999999</v>
      </c>
      <c r="H34" s="37">
        <f>E36-B34</f>
        <v>-478.9</v>
      </c>
      <c r="I34" s="25">
        <f t="shared" si="9"/>
        <v>-1947</v>
      </c>
      <c r="J34" s="34">
        <f t="shared" si="9"/>
        <v>-56.7</v>
      </c>
      <c r="K34" s="45">
        <v>0</v>
      </c>
      <c r="L34" s="46">
        <v>0</v>
      </c>
      <c r="M34" s="47">
        <v>0</v>
      </c>
      <c r="N34" s="41">
        <v>0</v>
      </c>
      <c r="O34" s="25">
        <v>0</v>
      </c>
      <c r="P34" s="54">
        <v>0</v>
      </c>
      <c r="Q34" s="43"/>
    </row>
    <row r="35" spans="1:17" ht="15" customHeight="1" thickBot="1">
      <c r="A35" s="6" t="s">
        <v>15</v>
      </c>
      <c r="B35" s="40">
        <f aca="true" t="shared" si="11" ref="B35:G35">B29+B33+B34</f>
        <v>1452830.2</v>
      </c>
      <c r="C35" s="24">
        <f t="shared" si="11"/>
        <v>281786.10000000003</v>
      </c>
      <c r="D35" s="33">
        <f t="shared" si="11"/>
        <v>87018.70000000001</v>
      </c>
      <c r="E35" s="40">
        <f t="shared" si="11"/>
        <v>1154781.2</v>
      </c>
      <c r="F35" s="28">
        <f t="shared" si="11"/>
        <v>210575.2</v>
      </c>
      <c r="G35" s="42">
        <f t="shared" si="11"/>
        <v>60185.99999999999</v>
      </c>
      <c r="H35" s="51">
        <f t="shared" si="9"/>
        <v>-298049</v>
      </c>
      <c r="I35" s="52">
        <f t="shared" si="9"/>
        <v>-71210.90000000002</v>
      </c>
      <c r="J35" s="53">
        <f t="shared" si="9"/>
        <v>-26832.70000000002</v>
      </c>
      <c r="K35" s="44">
        <f>E35/B35*100</f>
        <v>79.48493912089658</v>
      </c>
      <c r="L35" s="44">
        <f>F35/C35*100</f>
        <v>74.72873928132012</v>
      </c>
      <c r="M35" s="18">
        <f>G35/D35*100</f>
        <v>69.16444396434328</v>
      </c>
      <c r="N35" s="49">
        <f t="shared" si="8"/>
        <v>79.48493912089658</v>
      </c>
      <c r="O35" s="52">
        <f t="shared" si="8"/>
        <v>74.72873928132012</v>
      </c>
      <c r="P35" s="55">
        <f t="shared" si="8"/>
        <v>69.16444396434328</v>
      </c>
      <c r="Q35" s="43"/>
    </row>
    <row r="36" spans="8:17" ht="12.75">
      <c r="H36" s="43"/>
      <c r="I36" s="43"/>
      <c r="J36" s="43"/>
      <c r="Q36" s="43"/>
    </row>
    <row r="37" spans="1:16" ht="12.75">
      <c r="A37" t="s">
        <v>44</v>
      </c>
      <c r="B37" s="58"/>
      <c r="C37" s="58"/>
      <c r="D37" s="5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2:8" ht="12.75">
      <c r="B38" s="43"/>
      <c r="C38" s="43"/>
      <c r="D38" s="43"/>
      <c r="E38" s="43"/>
      <c r="F38" s="43"/>
      <c r="G38" s="43"/>
      <c r="H38" s="43"/>
    </row>
    <row r="39" ht="12.75">
      <c r="E39" s="50"/>
    </row>
    <row r="41" spans="6:8" ht="12.75">
      <c r="F41" s="43"/>
      <c r="H41" s="43"/>
    </row>
  </sheetData>
  <sheetProtection/>
  <mergeCells count="6">
    <mergeCell ref="A2:P2"/>
    <mergeCell ref="B4:D4"/>
    <mergeCell ref="E4:G4"/>
    <mergeCell ref="H4:J4"/>
    <mergeCell ref="K4:M4"/>
    <mergeCell ref="N4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tabSelected="1" zoomScalePageLayoutView="0" workbookViewId="0" topLeftCell="A1">
      <selection activeCell="T27" sqref="T27"/>
    </sheetView>
  </sheetViews>
  <sheetFormatPr defaultColWidth="9.00390625" defaultRowHeight="12.75"/>
  <cols>
    <col min="1" max="1" width="32.75390625" style="0" customWidth="1"/>
    <col min="2" max="2" width="11.125" style="0" customWidth="1"/>
    <col min="3" max="4" width="9.875" style="0" customWidth="1"/>
    <col min="5" max="5" width="12.125" style="0" customWidth="1"/>
    <col min="6" max="6" width="10.00390625" style="0" customWidth="1"/>
    <col min="7" max="7" width="10.125" style="0" customWidth="1"/>
    <col min="8" max="8" width="11.375" style="0" customWidth="1"/>
    <col min="9" max="9" width="10.625" style="0" customWidth="1"/>
    <col min="10" max="10" width="10.125" style="0" customWidth="1"/>
    <col min="11" max="12" width="9.25390625" style="0" hidden="1" customWidth="1"/>
    <col min="13" max="13" width="0.6171875" style="0" hidden="1" customWidth="1"/>
    <col min="14" max="14" width="10.75390625" style="0" customWidth="1"/>
    <col min="15" max="15" width="10.25390625" style="0" customWidth="1"/>
    <col min="16" max="16" width="9.75390625" style="0" customWidth="1"/>
    <col min="17" max="17" width="11.625" style="0" customWidth="1"/>
  </cols>
  <sheetData>
    <row r="2" spans="1:16" ht="18.75" customHeight="1">
      <c r="A2" s="62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4" spans="1:16" ht="15.75">
      <c r="A4" s="2" t="s">
        <v>12</v>
      </c>
      <c r="B4" s="64" t="s">
        <v>38</v>
      </c>
      <c r="C4" s="65"/>
      <c r="D4" s="66"/>
      <c r="E4" s="64" t="s">
        <v>34</v>
      </c>
      <c r="F4" s="65"/>
      <c r="G4" s="66"/>
      <c r="H4" s="64" t="s">
        <v>35</v>
      </c>
      <c r="I4" s="65"/>
      <c r="J4" s="66"/>
      <c r="K4" s="64" t="s">
        <v>27</v>
      </c>
      <c r="L4" s="65"/>
      <c r="M4" s="66"/>
      <c r="N4" s="64" t="s">
        <v>27</v>
      </c>
      <c r="O4" s="65"/>
      <c r="P4" s="66"/>
    </row>
    <row r="5" spans="1:16" ht="29.25" customHeight="1">
      <c r="A5" s="3"/>
      <c r="B5" s="1" t="s">
        <v>25</v>
      </c>
      <c r="C5" s="1" t="s">
        <v>26</v>
      </c>
      <c r="D5" s="5" t="s">
        <v>28</v>
      </c>
      <c r="E5" s="1" t="s">
        <v>25</v>
      </c>
      <c r="F5" s="1" t="s">
        <v>26</v>
      </c>
      <c r="G5" s="1" t="s">
        <v>28</v>
      </c>
      <c r="H5" s="1" t="s">
        <v>25</v>
      </c>
      <c r="I5" s="1" t="s">
        <v>26</v>
      </c>
      <c r="J5" s="1" t="s">
        <v>28</v>
      </c>
      <c r="K5" s="1" t="s">
        <v>25</v>
      </c>
      <c r="L5" s="1" t="s">
        <v>26</v>
      </c>
      <c r="M5" s="1" t="s">
        <v>28</v>
      </c>
      <c r="N5" s="1" t="s">
        <v>25</v>
      </c>
      <c r="O5" s="1" t="s">
        <v>26</v>
      </c>
      <c r="P5" s="1" t="s">
        <v>28</v>
      </c>
    </row>
    <row r="6" spans="1:16" ht="12.75">
      <c r="A6" s="5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11</v>
      </c>
      <c r="O6" s="4">
        <v>12</v>
      </c>
      <c r="P6" s="4">
        <v>13</v>
      </c>
    </row>
    <row r="7" spans="1:19" ht="13.5" customHeight="1">
      <c r="A7" s="7" t="s">
        <v>0</v>
      </c>
      <c r="B7" s="36">
        <v>238185.5</v>
      </c>
      <c r="C7" s="20">
        <v>80380.1</v>
      </c>
      <c r="D7" s="29">
        <v>9805.4</v>
      </c>
      <c r="E7" s="36">
        <v>197227.8</v>
      </c>
      <c r="F7" s="20">
        <v>63805.7</v>
      </c>
      <c r="G7" s="29">
        <v>8728.3</v>
      </c>
      <c r="H7" s="36">
        <f>E7-B7</f>
        <v>-40957.70000000001</v>
      </c>
      <c r="I7" s="20">
        <f>F7-C7</f>
        <v>-16574.40000000001</v>
      </c>
      <c r="J7" s="29">
        <f>G7-D7</f>
        <v>-1077.1000000000004</v>
      </c>
      <c r="K7" s="15">
        <f aca="true" t="shared" si="0" ref="K7:M9">E7/B7*100</f>
        <v>82.80428489559607</v>
      </c>
      <c r="L7" s="15">
        <f t="shared" si="0"/>
        <v>79.37997091319866</v>
      </c>
      <c r="M7" s="15">
        <f t="shared" si="0"/>
        <v>89.01523650233545</v>
      </c>
      <c r="N7" s="36">
        <f>E7/B7*100</f>
        <v>82.80428489559607</v>
      </c>
      <c r="O7" s="20">
        <f>F7/C7*100</f>
        <v>79.37997091319866</v>
      </c>
      <c r="P7" s="29">
        <f>G7/D7*100</f>
        <v>89.01523650233545</v>
      </c>
      <c r="Q7" s="43"/>
      <c r="R7" s="43"/>
      <c r="S7" s="43"/>
    </row>
    <row r="8" spans="1:17" ht="12.75">
      <c r="A8" s="7" t="s">
        <v>23</v>
      </c>
      <c r="B8" s="36">
        <v>5275.7</v>
      </c>
      <c r="C8" s="20">
        <v>3709.8</v>
      </c>
      <c r="D8" s="29">
        <v>3351.8</v>
      </c>
      <c r="E8" s="36">
        <v>5480.1</v>
      </c>
      <c r="F8" s="20">
        <v>3811.7</v>
      </c>
      <c r="G8" s="29">
        <v>3481.5</v>
      </c>
      <c r="H8" s="36">
        <f aca="true" t="shared" si="1" ref="H8:J29">E8-B8</f>
        <v>204.40000000000055</v>
      </c>
      <c r="I8" s="20">
        <f t="shared" si="1"/>
        <v>101.89999999999964</v>
      </c>
      <c r="J8" s="29">
        <f t="shared" si="1"/>
        <v>129.69999999999982</v>
      </c>
      <c r="K8" s="15">
        <f t="shared" si="0"/>
        <v>103.87436738252744</v>
      </c>
      <c r="L8" s="15">
        <f t="shared" si="0"/>
        <v>102.74677880209175</v>
      </c>
      <c r="M8" s="15">
        <f t="shared" si="0"/>
        <v>103.86956262306819</v>
      </c>
      <c r="N8" s="36">
        <f aca="true" t="shared" si="2" ref="N8:N28">E8/B8*100</f>
        <v>103.87436738252744</v>
      </c>
      <c r="O8" s="20">
        <f aca="true" t="shared" si="3" ref="O8:O28">F8/C8*100</f>
        <v>102.74677880209175</v>
      </c>
      <c r="P8" s="29">
        <f aca="true" t="shared" si="4" ref="P8:P28">G8/D8*100</f>
        <v>103.86956262306819</v>
      </c>
      <c r="Q8" s="43"/>
    </row>
    <row r="9" spans="1:17" ht="15.75" customHeight="1">
      <c r="A9" s="7" t="s">
        <v>1</v>
      </c>
      <c r="B9" s="36">
        <v>16478.8</v>
      </c>
      <c r="C9" s="20">
        <v>2150</v>
      </c>
      <c r="D9" s="29">
        <v>169.5</v>
      </c>
      <c r="E9" s="36">
        <v>16189.6</v>
      </c>
      <c r="F9" s="20">
        <v>1692.2</v>
      </c>
      <c r="G9" s="29">
        <v>106.7</v>
      </c>
      <c r="H9" s="36">
        <f t="shared" si="1"/>
        <v>-289.1999999999989</v>
      </c>
      <c r="I9" s="20">
        <f t="shared" si="1"/>
        <v>-457.79999999999995</v>
      </c>
      <c r="J9" s="29">
        <f t="shared" si="1"/>
        <v>-62.8</v>
      </c>
      <c r="K9" s="15">
        <f t="shared" si="0"/>
        <v>98.24501784110494</v>
      </c>
      <c r="L9" s="15">
        <f t="shared" si="0"/>
        <v>78.70697674418605</v>
      </c>
      <c r="M9" s="15">
        <f t="shared" si="0"/>
        <v>62.949852507374636</v>
      </c>
      <c r="N9" s="36">
        <f t="shared" si="2"/>
        <v>98.24501784110494</v>
      </c>
      <c r="O9" s="20">
        <f t="shared" si="3"/>
        <v>78.70697674418605</v>
      </c>
      <c r="P9" s="29">
        <f t="shared" si="4"/>
        <v>62.949852507374636</v>
      </c>
      <c r="Q9" s="43"/>
    </row>
    <row r="10" spans="1:17" ht="15" customHeight="1">
      <c r="A10" s="7" t="s">
        <v>2</v>
      </c>
      <c r="B10" s="36">
        <v>0</v>
      </c>
      <c r="C10" s="20">
        <v>190.1</v>
      </c>
      <c r="D10" s="29">
        <v>12</v>
      </c>
      <c r="E10" s="36">
        <v>0</v>
      </c>
      <c r="F10" s="20">
        <v>815.4</v>
      </c>
      <c r="G10" s="29">
        <v>17.5</v>
      </c>
      <c r="H10" s="36">
        <f t="shared" si="1"/>
        <v>0</v>
      </c>
      <c r="I10" s="20">
        <f t="shared" si="1"/>
        <v>625.3</v>
      </c>
      <c r="J10" s="29">
        <f t="shared" si="1"/>
        <v>5.5</v>
      </c>
      <c r="K10" s="15">
        <v>0</v>
      </c>
      <c r="L10" s="15">
        <f>F10/C10*100</f>
        <v>428.9321409784324</v>
      </c>
      <c r="M10" s="15">
        <f>G10/D10*100</f>
        <v>145.83333333333331</v>
      </c>
      <c r="N10" s="36">
        <v>0</v>
      </c>
      <c r="O10" s="20">
        <f t="shared" si="3"/>
        <v>428.9321409784324</v>
      </c>
      <c r="P10" s="29">
        <f t="shared" si="4"/>
        <v>145.83333333333331</v>
      </c>
      <c r="Q10" s="43"/>
    </row>
    <row r="11" spans="1:17" ht="24" customHeight="1">
      <c r="A11" s="7" t="s">
        <v>22</v>
      </c>
      <c r="B11" s="36">
        <v>890.4</v>
      </c>
      <c r="C11" s="20">
        <v>0</v>
      </c>
      <c r="D11" s="29">
        <v>0</v>
      </c>
      <c r="E11" s="36">
        <v>764.5</v>
      </c>
      <c r="F11" s="20">
        <v>0</v>
      </c>
      <c r="G11" s="29">
        <v>0</v>
      </c>
      <c r="H11" s="36">
        <f t="shared" si="1"/>
        <v>-125.89999999999998</v>
      </c>
      <c r="I11" s="20">
        <f t="shared" si="1"/>
        <v>0</v>
      </c>
      <c r="J11" s="29">
        <f t="shared" si="1"/>
        <v>0</v>
      </c>
      <c r="K11" s="15">
        <f>E11/B11*100</f>
        <v>85.86028751123092</v>
      </c>
      <c r="L11" s="15">
        <v>0</v>
      </c>
      <c r="M11" s="15">
        <v>0</v>
      </c>
      <c r="N11" s="36">
        <f t="shared" si="2"/>
        <v>85.86028751123092</v>
      </c>
      <c r="O11" s="20">
        <v>0</v>
      </c>
      <c r="P11" s="29">
        <v>0</v>
      </c>
      <c r="Q11" s="43"/>
    </row>
    <row r="12" spans="1:17" ht="14.25" customHeight="1">
      <c r="A12" s="57" t="s">
        <v>16</v>
      </c>
      <c r="B12" s="36">
        <v>0</v>
      </c>
      <c r="C12" s="20">
        <v>23723.4</v>
      </c>
      <c r="D12" s="29">
        <v>3241</v>
      </c>
      <c r="E12" s="36">
        <v>0</v>
      </c>
      <c r="F12" s="20">
        <v>21539.8</v>
      </c>
      <c r="G12" s="29">
        <v>3306</v>
      </c>
      <c r="H12" s="36">
        <f t="shared" si="1"/>
        <v>0</v>
      </c>
      <c r="I12" s="20">
        <f t="shared" si="1"/>
        <v>-2183.600000000002</v>
      </c>
      <c r="J12" s="29">
        <f t="shared" si="1"/>
        <v>65</v>
      </c>
      <c r="K12" s="15">
        <v>0</v>
      </c>
      <c r="L12" s="15">
        <f aca="true" t="shared" si="5" ref="L12:M15">F12/C12*100</f>
        <v>90.79558579293018</v>
      </c>
      <c r="M12" s="15">
        <f t="shared" si="5"/>
        <v>102.00555384140696</v>
      </c>
      <c r="N12" s="36">
        <v>0</v>
      </c>
      <c r="O12" s="20">
        <f t="shared" si="3"/>
        <v>90.79558579293018</v>
      </c>
      <c r="P12" s="29">
        <f t="shared" si="4"/>
        <v>102.00555384140696</v>
      </c>
      <c r="Q12" s="43"/>
    </row>
    <row r="13" spans="1:17" ht="15" customHeight="1">
      <c r="A13" s="7" t="s">
        <v>18</v>
      </c>
      <c r="B13" s="36">
        <v>7336.8</v>
      </c>
      <c r="C13" s="20">
        <v>7800</v>
      </c>
      <c r="D13" s="29">
        <v>139.9</v>
      </c>
      <c r="E13" s="36">
        <v>7216.5</v>
      </c>
      <c r="F13" s="26">
        <v>7114.6</v>
      </c>
      <c r="G13" s="35">
        <v>102</v>
      </c>
      <c r="H13" s="36">
        <f t="shared" si="1"/>
        <v>-120.30000000000018</v>
      </c>
      <c r="I13" s="20">
        <f t="shared" si="1"/>
        <v>-685.3999999999996</v>
      </c>
      <c r="J13" s="29">
        <f t="shared" si="1"/>
        <v>-37.900000000000006</v>
      </c>
      <c r="K13" s="15">
        <f>E13/B13*100</f>
        <v>98.36032057572783</v>
      </c>
      <c r="L13" s="15">
        <f t="shared" si="5"/>
        <v>91.21282051282051</v>
      </c>
      <c r="M13" s="15">
        <f t="shared" si="5"/>
        <v>72.90922087205146</v>
      </c>
      <c r="N13" s="36">
        <f t="shared" si="2"/>
        <v>98.36032057572783</v>
      </c>
      <c r="O13" s="20">
        <f t="shared" si="3"/>
        <v>91.21282051282051</v>
      </c>
      <c r="P13" s="29">
        <f t="shared" si="4"/>
        <v>72.90922087205146</v>
      </c>
      <c r="Q13" s="43"/>
    </row>
    <row r="14" spans="1:17" ht="15" customHeight="1">
      <c r="A14" s="57" t="s">
        <v>19</v>
      </c>
      <c r="B14" s="36">
        <v>24387</v>
      </c>
      <c r="C14" s="20">
        <v>18500</v>
      </c>
      <c r="D14" s="29">
        <v>2650.7</v>
      </c>
      <c r="E14" s="36">
        <v>22572</v>
      </c>
      <c r="F14" s="20">
        <v>19516.9</v>
      </c>
      <c r="G14" s="35">
        <v>3055.1</v>
      </c>
      <c r="H14" s="36">
        <f t="shared" si="1"/>
        <v>-1815</v>
      </c>
      <c r="I14" s="20">
        <f t="shared" si="1"/>
        <v>1016.9000000000015</v>
      </c>
      <c r="J14" s="29">
        <f t="shared" si="1"/>
        <v>404.4000000000001</v>
      </c>
      <c r="K14" s="15">
        <f>E14/B14*100</f>
        <v>92.5575101488498</v>
      </c>
      <c r="L14" s="15">
        <f t="shared" si="5"/>
        <v>105.49675675675675</v>
      </c>
      <c r="M14" s="15">
        <f t="shared" si="5"/>
        <v>115.25634737993738</v>
      </c>
      <c r="N14" s="36">
        <f t="shared" si="2"/>
        <v>92.5575101488498</v>
      </c>
      <c r="O14" s="20">
        <f t="shared" si="3"/>
        <v>105.49675675675675</v>
      </c>
      <c r="P14" s="29">
        <f t="shared" si="4"/>
        <v>115.25634737993738</v>
      </c>
      <c r="Q14" s="43"/>
    </row>
    <row r="15" spans="1:17" ht="15.75" customHeight="1">
      <c r="A15" s="7" t="s">
        <v>8</v>
      </c>
      <c r="B15" s="36">
        <v>0</v>
      </c>
      <c r="C15" s="20">
        <v>55210</v>
      </c>
      <c r="D15" s="29">
        <v>14593.6</v>
      </c>
      <c r="E15" s="36">
        <v>0</v>
      </c>
      <c r="F15" s="20">
        <v>51616.1</v>
      </c>
      <c r="G15" s="29">
        <v>13957.3</v>
      </c>
      <c r="H15" s="36">
        <f t="shared" si="1"/>
        <v>0</v>
      </c>
      <c r="I15" s="20">
        <f t="shared" si="1"/>
        <v>-3593.9000000000015</v>
      </c>
      <c r="J15" s="29">
        <f t="shared" si="1"/>
        <v>-636.3000000000011</v>
      </c>
      <c r="K15" s="15">
        <v>0</v>
      </c>
      <c r="L15" s="15">
        <f t="shared" si="5"/>
        <v>93.49049085310632</v>
      </c>
      <c r="M15" s="15">
        <f t="shared" si="5"/>
        <v>95.63986953184957</v>
      </c>
      <c r="N15" s="36">
        <v>0</v>
      </c>
      <c r="O15" s="20">
        <f t="shared" si="3"/>
        <v>93.49049085310632</v>
      </c>
      <c r="P15" s="29">
        <f t="shared" si="4"/>
        <v>95.63986953184957</v>
      </c>
      <c r="Q15" s="43"/>
    </row>
    <row r="16" spans="1:17" ht="15" customHeight="1">
      <c r="A16" s="7" t="s">
        <v>3</v>
      </c>
      <c r="B16" s="36">
        <v>9532.8</v>
      </c>
      <c r="C16" s="20">
        <v>0</v>
      </c>
      <c r="D16" s="29">
        <v>63.5</v>
      </c>
      <c r="E16" s="36">
        <v>8447.4</v>
      </c>
      <c r="F16" s="20">
        <v>0</v>
      </c>
      <c r="G16" s="29">
        <v>39.2</v>
      </c>
      <c r="H16" s="36">
        <f t="shared" si="1"/>
        <v>-1085.3999999999996</v>
      </c>
      <c r="I16" s="20">
        <f t="shared" si="1"/>
        <v>0</v>
      </c>
      <c r="J16" s="29">
        <f t="shared" si="1"/>
        <v>-24.299999999999997</v>
      </c>
      <c r="K16" s="15">
        <f>E16/B16*100</f>
        <v>88.61404833836858</v>
      </c>
      <c r="L16" s="15">
        <v>0</v>
      </c>
      <c r="M16" s="15">
        <f>G16/D16*100</f>
        <v>61.732283464566926</v>
      </c>
      <c r="N16" s="36">
        <f t="shared" si="2"/>
        <v>88.61404833836858</v>
      </c>
      <c r="O16" s="20">
        <v>0</v>
      </c>
      <c r="P16" s="29">
        <f t="shared" si="4"/>
        <v>61.732283464566926</v>
      </c>
      <c r="Q16" s="43"/>
    </row>
    <row r="17" spans="1:17" ht="15" customHeight="1">
      <c r="A17" s="59" t="s">
        <v>33</v>
      </c>
      <c r="B17" s="36">
        <v>0</v>
      </c>
      <c r="C17" s="20">
        <v>0</v>
      </c>
      <c r="D17" s="29">
        <v>0</v>
      </c>
      <c r="E17" s="36">
        <v>0</v>
      </c>
      <c r="F17" s="20">
        <v>0</v>
      </c>
      <c r="G17" s="29">
        <v>0</v>
      </c>
      <c r="H17" s="36">
        <f t="shared" si="1"/>
        <v>0</v>
      </c>
      <c r="I17" s="20">
        <f t="shared" si="1"/>
        <v>0</v>
      </c>
      <c r="J17" s="29">
        <f t="shared" si="1"/>
        <v>0</v>
      </c>
      <c r="K17" s="15">
        <v>0</v>
      </c>
      <c r="L17" s="15">
        <v>0</v>
      </c>
      <c r="M17" s="15">
        <v>0</v>
      </c>
      <c r="N17" s="36">
        <v>0</v>
      </c>
      <c r="O17" s="20">
        <v>0</v>
      </c>
      <c r="P17" s="29">
        <v>0</v>
      </c>
      <c r="Q17" s="43"/>
    </row>
    <row r="18" spans="1:17" ht="16.5" customHeight="1">
      <c r="A18" s="59" t="s">
        <v>13</v>
      </c>
      <c r="B18" s="36">
        <f>46068</f>
        <v>46068</v>
      </c>
      <c r="C18" s="20">
        <f>14600+454</f>
        <v>15054</v>
      </c>
      <c r="D18" s="29">
        <v>0</v>
      </c>
      <c r="E18" s="36">
        <v>47018.7</v>
      </c>
      <c r="F18" s="20">
        <f>16580.2+496</f>
        <v>17076.2</v>
      </c>
      <c r="G18" s="29">
        <v>9.5</v>
      </c>
      <c r="H18" s="36">
        <f t="shared" si="1"/>
        <v>950.6999999999971</v>
      </c>
      <c r="I18" s="20">
        <f t="shared" si="1"/>
        <v>2022.2000000000007</v>
      </c>
      <c r="J18" s="29">
        <f t="shared" si="1"/>
        <v>9.5</v>
      </c>
      <c r="K18" s="15">
        <f aca="true" t="shared" si="6" ref="K18:L27">E18/B18*100</f>
        <v>102.0636884605366</v>
      </c>
      <c r="L18" s="15">
        <f t="shared" si="6"/>
        <v>113.43297462468446</v>
      </c>
      <c r="M18" s="15">
        <v>0</v>
      </c>
      <c r="N18" s="36">
        <f t="shared" si="2"/>
        <v>102.0636884605366</v>
      </c>
      <c r="O18" s="20">
        <f t="shared" si="3"/>
        <v>113.43297462468446</v>
      </c>
      <c r="P18" s="29">
        <v>0</v>
      </c>
      <c r="Q18" s="43"/>
    </row>
    <row r="19" spans="1:17" ht="15" customHeight="1">
      <c r="A19" s="57" t="s">
        <v>4</v>
      </c>
      <c r="B19" s="36">
        <v>5300</v>
      </c>
      <c r="C19" s="20">
        <v>2782</v>
      </c>
      <c r="D19" s="29">
        <v>558.8</v>
      </c>
      <c r="E19" s="36">
        <v>4686.4</v>
      </c>
      <c r="F19" s="20">
        <v>2311.4</v>
      </c>
      <c r="G19" s="29">
        <v>356.5</v>
      </c>
      <c r="H19" s="36">
        <f t="shared" si="1"/>
        <v>-613.6000000000004</v>
      </c>
      <c r="I19" s="20">
        <f t="shared" si="1"/>
        <v>-470.5999999999999</v>
      </c>
      <c r="J19" s="29">
        <f t="shared" si="1"/>
        <v>-202.29999999999995</v>
      </c>
      <c r="K19" s="15">
        <f t="shared" si="6"/>
        <v>88.42264150943396</v>
      </c>
      <c r="L19" s="15">
        <f t="shared" si="6"/>
        <v>83.08411214953271</v>
      </c>
      <c r="M19" s="15">
        <f>G19/D19*100</f>
        <v>63.797423049391554</v>
      </c>
      <c r="N19" s="36">
        <f t="shared" si="2"/>
        <v>88.42264150943396</v>
      </c>
      <c r="O19" s="20">
        <f t="shared" si="3"/>
        <v>83.08411214953271</v>
      </c>
      <c r="P19" s="29">
        <f t="shared" si="4"/>
        <v>63.797423049391554</v>
      </c>
      <c r="Q19" s="43"/>
    </row>
    <row r="20" spans="1:17" ht="27" customHeight="1">
      <c r="A20" s="59" t="s">
        <v>24</v>
      </c>
      <c r="B20" s="36">
        <f>507.4+101.6</f>
        <v>609</v>
      </c>
      <c r="C20" s="20">
        <f>235.8+3085.5</f>
        <v>3321.3</v>
      </c>
      <c r="D20" s="29">
        <v>15</v>
      </c>
      <c r="E20" s="36">
        <f>593.6+101.7</f>
        <v>695.3000000000001</v>
      </c>
      <c r="F20" s="20">
        <f>75.4+2106.5</f>
        <v>2181.9</v>
      </c>
      <c r="G20" s="29">
        <v>15</v>
      </c>
      <c r="H20" s="36">
        <f t="shared" si="1"/>
        <v>86.30000000000007</v>
      </c>
      <c r="I20" s="20">
        <f t="shared" si="1"/>
        <v>-1139.4</v>
      </c>
      <c r="J20" s="29">
        <f t="shared" si="1"/>
        <v>0</v>
      </c>
      <c r="K20" s="15">
        <f t="shared" si="6"/>
        <v>114.17077175697867</v>
      </c>
      <c r="L20" s="15">
        <f t="shared" si="6"/>
        <v>65.69415590280914</v>
      </c>
      <c r="M20" s="15">
        <v>0</v>
      </c>
      <c r="N20" s="36">
        <f t="shared" si="2"/>
        <v>114.17077175697867</v>
      </c>
      <c r="O20" s="20">
        <f t="shared" si="3"/>
        <v>65.69415590280914</v>
      </c>
      <c r="P20" s="29">
        <f t="shared" si="4"/>
        <v>100</v>
      </c>
      <c r="Q20" s="43"/>
    </row>
    <row r="21" spans="1:17" ht="16.5" customHeight="1">
      <c r="A21" s="57" t="s">
        <v>5</v>
      </c>
      <c r="B21" s="36">
        <v>3666</v>
      </c>
      <c r="C21" s="20">
        <v>0</v>
      </c>
      <c r="D21" s="29">
        <v>0</v>
      </c>
      <c r="E21" s="36">
        <v>3606.5</v>
      </c>
      <c r="F21" s="20">
        <v>0</v>
      </c>
      <c r="G21" s="29">
        <v>0</v>
      </c>
      <c r="H21" s="36">
        <f t="shared" si="1"/>
        <v>-59.5</v>
      </c>
      <c r="I21" s="20">
        <f t="shared" si="1"/>
        <v>0</v>
      </c>
      <c r="J21" s="29">
        <f t="shared" si="1"/>
        <v>0</v>
      </c>
      <c r="K21" s="15">
        <f t="shared" si="6"/>
        <v>98.37697763229679</v>
      </c>
      <c r="L21" s="15">
        <v>0</v>
      </c>
      <c r="M21" s="15">
        <v>0</v>
      </c>
      <c r="N21" s="36">
        <f t="shared" si="2"/>
        <v>98.37697763229679</v>
      </c>
      <c r="O21" s="20">
        <v>0</v>
      </c>
      <c r="P21" s="29">
        <v>0</v>
      </c>
      <c r="Q21" s="43"/>
    </row>
    <row r="22" spans="1:17" ht="15.75" customHeight="1">
      <c r="A22" s="57" t="s">
        <v>20</v>
      </c>
      <c r="B22" s="36">
        <v>3219.5</v>
      </c>
      <c r="C22" s="20">
        <v>276.2</v>
      </c>
      <c r="D22" s="29">
        <v>0</v>
      </c>
      <c r="E22" s="36">
        <v>2943.5</v>
      </c>
      <c r="F22" s="20">
        <v>518.5</v>
      </c>
      <c r="G22" s="29">
        <v>51.7</v>
      </c>
      <c r="H22" s="36">
        <f t="shared" si="1"/>
        <v>-276</v>
      </c>
      <c r="I22" s="20">
        <f t="shared" si="1"/>
        <v>242.3</v>
      </c>
      <c r="J22" s="29">
        <f t="shared" si="1"/>
        <v>51.7</v>
      </c>
      <c r="K22" s="15">
        <f t="shared" si="6"/>
        <v>91.42724025469794</v>
      </c>
      <c r="L22" s="15">
        <f>F22/C22*100</f>
        <v>187.72628530050687</v>
      </c>
      <c r="M22" s="15">
        <v>0</v>
      </c>
      <c r="N22" s="36">
        <f t="shared" si="2"/>
        <v>91.42724025469794</v>
      </c>
      <c r="O22" s="20">
        <f t="shared" si="3"/>
        <v>187.72628530050687</v>
      </c>
      <c r="P22" s="29">
        <v>0</v>
      </c>
      <c r="Q22" s="43"/>
    </row>
    <row r="23" spans="1:17" ht="15" customHeight="1">
      <c r="A23" s="57" t="s">
        <v>6</v>
      </c>
      <c r="B23" s="36">
        <v>103.4</v>
      </c>
      <c r="C23" s="20">
        <v>0</v>
      </c>
      <c r="D23" s="29">
        <v>0</v>
      </c>
      <c r="E23" s="36">
        <v>103.4</v>
      </c>
      <c r="F23" s="20">
        <v>0</v>
      </c>
      <c r="G23" s="29">
        <v>0</v>
      </c>
      <c r="H23" s="36">
        <f t="shared" si="1"/>
        <v>0</v>
      </c>
      <c r="I23" s="20">
        <f t="shared" si="1"/>
        <v>0</v>
      </c>
      <c r="J23" s="29">
        <f t="shared" si="1"/>
        <v>0</v>
      </c>
      <c r="K23" s="15">
        <f t="shared" si="6"/>
        <v>100</v>
      </c>
      <c r="L23" s="15" t="e">
        <f>F23/C23*100</f>
        <v>#DIV/0!</v>
      </c>
      <c r="M23" s="15">
        <v>0</v>
      </c>
      <c r="N23" s="36">
        <f t="shared" si="2"/>
        <v>100</v>
      </c>
      <c r="O23" s="20">
        <v>0</v>
      </c>
      <c r="P23" s="29">
        <v>0</v>
      </c>
      <c r="Q23" s="43"/>
    </row>
    <row r="24" spans="1:17" ht="15.75" customHeight="1">
      <c r="A24" s="57" t="s">
        <v>29</v>
      </c>
      <c r="B24" s="36">
        <v>1594</v>
      </c>
      <c r="C24" s="20">
        <v>6298.7</v>
      </c>
      <c r="D24" s="29">
        <v>2222.9</v>
      </c>
      <c r="E24" s="36">
        <v>172.9</v>
      </c>
      <c r="F24" s="20">
        <v>1750.7</v>
      </c>
      <c r="G24" s="29">
        <v>25.5</v>
      </c>
      <c r="H24" s="36">
        <f t="shared" si="1"/>
        <v>-1421.1</v>
      </c>
      <c r="I24" s="20">
        <f t="shared" si="1"/>
        <v>-4548</v>
      </c>
      <c r="J24" s="29">
        <f t="shared" si="1"/>
        <v>-2197.4</v>
      </c>
      <c r="K24" s="15">
        <f t="shared" si="6"/>
        <v>10.846925972396487</v>
      </c>
      <c r="L24" s="15">
        <f>F24/C24*100</f>
        <v>27.7946242875514</v>
      </c>
      <c r="M24" s="15">
        <f>G24/D24*100</f>
        <v>1.1471501192136397</v>
      </c>
      <c r="N24" s="36">
        <f t="shared" si="2"/>
        <v>10.846925972396487</v>
      </c>
      <c r="O24" s="20">
        <f t="shared" si="3"/>
        <v>27.7946242875514</v>
      </c>
      <c r="P24" s="29">
        <f t="shared" si="4"/>
        <v>1.1471501192136397</v>
      </c>
      <c r="Q24" s="43"/>
    </row>
    <row r="25" spans="1:17" ht="27" customHeight="1">
      <c r="A25" s="57" t="s">
        <v>17</v>
      </c>
      <c r="B25" s="36">
        <f>7000+290</f>
        <v>7290</v>
      </c>
      <c r="C25" s="20">
        <f>2980.5+6368.8+385</f>
        <v>9734.3</v>
      </c>
      <c r="D25" s="29">
        <v>77.8</v>
      </c>
      <c r="E25" s="36">
        <f>7133.7+291.6</f>
        <v>7425.3</v>
      </c>
      <c r="F25" s="20">
        <f>4977.5+2543.2+134.3</f>
        <v>7655</v>
      </c>
      <c r="G25" s="29">
        <v>-155.4</v>
      </c>
      <c r="H25" s="36">
        <f t="shared" si="1"/>
        <v>135.30000000000018</v>
      </c>
      <c r="I25" s="20">
        <f t="shared" si="1"/>
        <v>-2079.2999999999993</v>
      </c>
      <c r="J25" s="29">
        <f t="shared" si="1"/>
        <v>-233.2</v>
      </c>
      <c r="K25" s="15">
        <f t="shared" si="6"/>
        <v>101.85596707818931</v>
      </c>
      <c r="L25" s="15">
        <f>F25/C25*100</f>
        <v>78.63945019159057</v>
      </c>
      <c r="M25" s="15">
        <v>0</v>
      </c>
      <c r="N25" s="36">
        <f t="shared" si="2"/>
        <v>101.85596707818931</v>
      </c>
      <c r="O25" s="20">
        <f t="shared" si="3"/>
        <v>78.63945019159057</v>
      </c>
      <c r="P25" s="29">
        <f t="shared" si="4"/>
        <v>-199.74293059125964</v>
      </c>
      <c r="Q25" s="43"/>
    </row>
    <row r="26" spans="1:17" ht="16.5" customHeight="1">
      <c r="A26" s="7" t="s">
        <v>7</v>
      </c>
      <c r="B26" s="36">
        <v>13899.4</v>
      </c>
      <c r="C26" s="20">
        <v>356.2</v>
      </c>
      <c r="D26" s="29">
        <v>66.9</v>
      </c>
      <c r="E26" s="48">
        <v>10853.4</v>
      </c>
      <c r="F26" s="26">
        <v>732.4</v>
      </c>
      <c r="G26" s="35">
        <v>195.4</v>
      </c>
      <c r="H26" s="36">
        <f t="shared" si="1"/>
        <v>-3046</v>
      </c>
      <c r="I26" s="20">
        <f t="shared" si="1"/>
        <v>376.2</v>
      </c>
      <c r="J26" s="29">
        <f t="shared" si="1"/>
        <v>128.5</v>
      </c>
      <c r="K26" s="15">
        <f t="shared" si="6"/>
        <v>78.08538498064664</v>
      </c>
      <c r="L26" s="15">
        <f>F26/C26*100</f>
        <v>205.6148231330713</v>
      </c>
      <c r="M26" s="15">
        <f>G26/D26*100</f>
        <v>292.0777279521674</v>
      </c>
      <c r="N26" s="36">
        <f t="shared" si="2"/>
        <v>78.08538498064664</v>
      </c>
      <c r="O26" s="20">
        <f t="shared" si="3"/>
        <v>205.6148231330713</v>
      </c>
      <c r="P26" s="29">
        <f t="shared" si="4"/>
        <v>292.0777279521674</v>
      </c>
      <c r="Q26" s="43"/>
    </row>
    <row r="27" spans="1:17" ht="14.25" customHeight="1">
      <c r="A27" s="7" t="s">
        <v>9</v>
      </c>
      <c r="B27" s="36">
        <v>150</v>
      </c>
      <c r="C27" s="20">
        <v>26.2</v>
      </c>
      <c r="D27" s="29">
        <f>74.6+279.7</f>
        <v>354.29999999999995</v>
      </c>
      <c r="E27" s="36">
        <v>150.3</v>
      </c>
      <c r="F27" s="20">
        <v>92.1</v>
      </c>
      <c r="G27" s="29">
        <f>61+154.8</f>
        <v>215.8</v>
      </c>
      <c r="H27" s="36">
        <f t="shared" si="1"/>
        <v>0.30000000000001137</v>
      </c>
      <c r="I27" s="20">
        <f t="shared" si="1"/>
        <v>65.89999999999999</v>
      </c>
      <c r="J27" s="29">
        <f t="shared" si="1"/>
        <v>-138.49999999999994</v>
      </c>
      <c r="K27" s="15">
        <f t="shared" si="6"/>
        <v>100.2</v>
      </c>
      <c r="L27" s="15">
        <v>0</v>
      </c>
      <c r="M27" s="15">
        <v>0</v>
      </c>
      <c r="N27" s="36">
        <f t="shared" si="2"/>
        <v>100.2</v>
      </c>
      <c r="O27" s="20">
        <f t="shared" si="3"/>
        <v>351.5267175572519</v>
      </c>
      <c r="P27" s="29">
        <f t="shared" si="4"/>
        <v>60.908834321196736</v>
      </c>
      <c r="Q27" s="43"/>
    </row>
    <row r="28" spans="1:17" ht="16.5" customHeight="1" thickBot="1">
      <c r="A28" s="8" t="s">
        <v>10</v>
      </c>
      <c r="B28" s="37">
        <v>0</v>
      </c>
      <c r="C28" s="21">
        <v>0</v>
      </c>
      <c r="D28" s="30">
        <v>0</v>
      </c>
      <c r="E28" s="37">
        <v>580.2</v>
      </c>
      <c r="F28" s="25">
        <v>0</v>
      </c>
      <c r="G28" s="34">
        <v>0</v>
      </c>
      <c r="H28" s="37">
        <f t="shared" si="1"/>
        <v>580.2</v>
      </c>
      <c r="I28" s="21">
        <f t="shared" si="1"/>
        <v>0</v>
      </c>
      <c r="J28" s="30">
        <f t="shared" si="1"/>
        <v>0</v>
      </c>
      <c r="K28" s="16">
        <v>0</v>
      </c>
      <c r="L28" s="16">
        <v>0</v>
      </c>
      <c r="M28" s="16">
        <v>0</v>
      </c>
      <c r="N28" s="36">
        <v>0</v>
      </c>
      <c r="O28" s="20">
        <v>0</v>
      </c>
      <c r="P28" s="29">
        <v>0</v>
      </c>
      <c r="Q28" s="43"/>
    </row>
    <row r="29" spans="1:17" ht="15" customHeight="1" thickBot="1">
      <c r="A29" s="9" t="s">
        <v>14</v>
      </c>
      <c r="B29" s="38">
        <f>B7+B8+B9+B10+B11+B13+B12+B14+B15+B16+B17+B18+B19+B20+B21+B22+B23+B24+B25+B26+B27+B28</f>
        <v>383986.30000000005</v>
      </c>
      <c r="C29" s="22">
        <f>SUM(C7:C28)</f>
        <v>229512.30000000005</v>
      </c>
      <c r="D29" s="31">
        <f>SUM(D7:D28)</f>
        <v>37323.10000000001</v>
      </c>
      <c r="E29" s="38">
        <f>SUM(E7:E28)</f>
        <v>336133.80000000005</v>
      </c>
      <c r="F29" s="27">
        <f>SUM(F7:F28)</f>
        <v>202230.6</v>
      </c>
      <c r="G29" s="31">
        <f>SUM(G7:G28)</f>
        <v>33507.6</v>
      </c>
      <c r="H29" s="51">
        <f t="shared" si="1"/>
        <v>-47852.5</v>
      </c>
      <c r="I29" s="52">
        <f t="shared" si="1"/>
        <v>-27281.70000000004</v>
      </c>
      <c r="J29" s="53">
        <f t="shared" si="1"/>
        <v>-3815.5000000000146</v>
      </c>
      <c r="K29" s="44">
        <f aca="true" t="shared" si="7" ref="K29:M32">E29/B29*100</f>
        <v>87.5379668493381</v>
      </c>
      <c r="L29" s="44">
        <f t="shared" si="7"/>
        <v>88.1131860906801</v>
      </c>
      <c r="M29" s="18">
        <f t="shared" si="7"/>
        <v>89.77710854671767</v>
      </c>
      <c r="N29" s="49">
        <f aca="true" t="shared" si="8" ref="N29:P35">E29/B29*100</f>
        <v>87.5379668493381</v>
      </c>
      <c r="O29" s="52">
        <f t="shared" si="8"/>
        <v>88.1131860906801</v>
      </c>
      <c r="P29" s="55">
        <f t="shared" si="8"/>
        <v>89.77710854671767</v>
      </c>
      <c r="Q29" s="43"/>
    </row>
    <row r="30" spans="1:17" ht="26.25" customHeight="1">
      <c r="A30" s="10" t="s">
        <v>21</v>
      </c>
      <c r="B30" s="39">
        <f>153075.8+11602</f>
        <v>164677.8</v>
      </c>
      <c r="C30" s="23">
        <v>14436.5</v>
      </c>
      <c r="D30" s="32">
        <v>24984.9</v>
      </c>
      <c r="E30" s="39">
        <v>140319.5</v>
      </c>
      <c r="F30" s="23">
        <v>13233.5</v>
      </c>
      <c r="G30" s="32">
        <v>23042.6</v>
      </c>
      <c r="H30" s="39">
        <f aca="true" t="shared" si="9" ref="H30:J35">E30-B30</f>
        <v>-24358.29999999999</v>
      </c>
      <c r="I30" s="23">
        <f t="shared" si="9"/>
        <v>-1203</v>
      </c>
      <c r="J30" s="32">
        <f t="shared" si="9"/>
        <v>-1942.300000000003</v>
      </c>
      <c r="K30" s="17">
        <f t="shared" si="7"/>
        <v>85.2085101938452</v>
      </c>
      <c r="L30" s="17">
        <f t="shared" si="7"/>
        <v>91.66695528694629</v>
      </c>
      <c r="M30" s="17">
        <f t="shared" si="7"/>
        <v>92.22610456715856</v>
      </c>
      <c r="N30" s="39">
        <f t="shared" si="8"/>
        <v>85.2085101938452</v>
      </c>
      <c r="O30" s="23">
        <f t="shared" si="8"/>
        <v>91.66695528694629</v>
      </c>
      <c r="P30" s="32">
        <f t="shared" si="8"/>
        <v>92.22610456715856</v>
      </c>
      <c r="Q30" s="43"/>
    </row>
    <row r="31" spans="1:17" ht="27.75" customHeight="1">
      <c r="A31" s="11" t="s">
        <v>32</v>
      </c>
      <c r="B31" s="36">
        <f>254178.1+646316.1+95375.6</f>
        <v>995869.7999999999</v>
      </c>
      <c r="C31" s="20">
        <f>17977.1+1835.5+8842.2</f>
        <v>28654.8</v>
      </c>
      <c r="D31" s="29">
        <f>5902.5+808.8+20525.3</f>
        <v>27236.6</v>
      </c>
      <c r="E31" s="36">
        <f>172147.2+581125.8+92412.6</f>
        <v>845685.6</v>
      </c>
      <c r="F31" s="20">
        <f>17796.9+1835.5+4381.9</f>
        <v>24014.300000000003</v>
      </c>
      <c r="G31" s="29">
        <f>5213.2+797+9461.3</f>
        <v>15471.5</v>
      </c>
      <c r="H31" s="36">
        <f>E31-B31</f>
        <v>-150184.19999999995</v>
      </c>
      <c r="I31" s="23">
        <f t="shared" si="9"/>
        <v>-4640.499999999996</v>
      </c>
      <c r="J31" s="32">
        <f t="shared" si="9"/>
        <v>-11765.099999999999</v>
      </c>
      <c r="K31" s="17">
        <f t="shared" si="7"/>
        <v>84.91929366670222</v>
      </c>
      <c r="L31" s="15">
        <f t="shared" si="7"/>
        <v>83.80550553484932</v>
      </c>
      <c r="M31" s="15">
        <f t="shared" si="7"/>
        <v>56.80407980438087</v>
      </c>
      <c r="N31" s="36">
        <f t="shared" si="8"/>
        <v>84.91929366670222</v>
      </c>
      <c r="O31" s="20">
        <f t="shared" si="8"/>
        <v>83.80550553484932</v>
      </c>
      <c r="P31" s="29">
        <f t="shared" si="8"/>
        <v>56.80407980438087</v>
      </c>
      <c r="Q31" s="43"/>
    </row>
    <row r="32" spans="1:17" ht="18" customHeight="1" thickBot="1">
      <c r="A32" s="12" t="s">
        <v>11</v>
      </c>
      <c r="B32" s="37">
        <v>183.2</v>
      </c>
      <c r="C32" s="21">
        <v>196.3</v>
      </c>
      <c r="D32" s="30">
        <v>713.6</v>
      </c>
      <c r="E32" s="60">
        <v>183.2</v>
      </c>
      <c r="F32" s="21">
        <v>197.9</v>
      </c>
      <c r="G32" s="30">
        <v>713.6</v>
      </c>
      <c r="H32" s="37">
        <f>E34-B32</f>
        <v>-3340.5</v>
      </c>
      <c r="I32" s="25">
        <f t="shared" si="9"/>
        <v>1.5999999999999943</v>
      </c>
      <c r="J32" s="34">
        <f t="shared" si="9"/>
        <v>0</v>
      </c>
      <c r="K32" s="19">
        <f>E34/B32*100</f>
        <v>-1723.417030567686</v>
      </c>
      <c r="L32" s="16">
        <v>0</v>
      </c>
      <c r="M32" s="16">
        <f t="shared" si="7"/>
        <v>100</v>
      </c>
      <c r="N32" s="36">
        <f t="shared" si="8"/>
        <v>100</v>
      </c>
      <c r="O32" s="20">
        <f t="shared" si="8"/>
        <v>100.81507896077433</v>
      </c>
      <c r="P32" s="29">
        <f t="shared" si="8"/>
        <v>100</v>
      </c>
      <c r="Q32" s="43"/>
    </row>
    <row r="33" spans="1:17" ht="14.25" customHeight="1" thickBot="1">
      <c r="A33" s="13" t="s">
        <v>31</v>
      </c>
      <c r="B33" s="40">
        <f aca="true" t="shared" si="10" ref="B33:H33">SUM(B30:B32)</f>
        <v>1160730.7999999998</v>
      </c>
      <c r="C33" s="24">
        <f t="shared" si="10"/>
        <v>43287.600000000006</v>
      </c>
      <c r="D33" s="33">
        <f t="shared" si="10"/>
        <v>52935.1</v>
      </c>
      <c r="E33" s="40">
        <f>SUM(E30:E32)</f>
        <v>986188.2999999999</v>
      </c>
      <c r="F33" s="24">
        <f t="shared" si="10"/>
        <v>37445.700000000004</v>
      </c>
      <c r="G33" s="33">
        <f t="shared" si="10"/>
        <v>39227.7</v>
      </c>
      <c r="H33" s="61">
        <f t="shared" si="10"/>
        <v>-177882.99999999994</v>
      </c>
      <c r="I33" s="52">
        <f t="shared" si="9"/>
        <v>-5841.9000000000015</v>
      </c>
      <c r="J33" s="53">
        <f t="shared" si="9"/>
        <v>-13707.400000000001</v>
      </c>
      <c r="K33" s="56">
        <f>E33/B33*100</f>
        <v>84.96270625368088</v>
      </c>
      <c r="L33" s="18">
        <f>F33/C33*100</f>
        <v>86.50444931111912</v>
      </c>
      <c r="M33" s="18">
        <f>G33/D33*100</f>
        <v>74.10527230514347</v>
      </c>
      <c r="N33" s="49">
        <f t="shared" si="8"/>
        <v>84.96270625368088</v>
      </c>
      <c r="O33" s="52">
        <f t="shared" si="8"/>
        <v>86.50444931111912</v>
      </c>
      <c r="P33" s="55">
        <f t="shared" si="8"/>
        <v>74.10527230514347</v>
      </c>
      <c r="Q33" s="43"/>
    </row>
    <row r="34" spans="1:17" ht="27" customHeight="1" thickBot="1">
      <c r="A34" s="14" t="s">
        <v>50</v>
      </c>
      <c r="B34" s="41">
        <v>478.9</v>
      </c>
      <c r="C34" s="25">
        <v>6317.5</v>
      </c>
      <c r="D34" s="34">
        <v>81.6</v>
      </c>
      <c r="E34" s="37">
        <f>1923.3-5080.6</f>
        <v>-3157.3</v>
      </c>
      <c r="F34" s="25">
        <f>6346.7-1972.9</f>
        <v>4373.799999999999</v>
      </c>
      <c r="G34" s="34">
        <f>94.3-69.5</f>
        <v>24.799999999999997</v>
      </c>
      <c r="H34" s="37">
        <f>E36-B34</f>
        <v>-478.9</v>
      </c>
      <c r="I34" s="25">
        <f t="shared" si="9"/>
        <v>-1943.7000000000007</v>
      </c>
      <c r="J34" s="34">
        <f t="shared" si="9"/>
        <v>-56.8</v>
      </c>
      <c r="K34" s="45">
        <v>0</v>
      </c>
      <c r="L34" s="46">
        <v>0</v>
      </c>
      <c r="M34" s="47">
        <v>0</v>
      </c>
      <c r="N34" s="41">
        <v>0</v>
      </c>
      <c r="O34" s="25">
        <v>0</v>
      </c>
      <c r="P34" s="54">
        <v>0</v>
      </c>
      <c r="Q34" s="43"/>
    </row>
    <row r="35" spans="1:17" ht="15" customHeight="1" thickBot="1">
      <c r="A35" s="6" t="s">
        <v>15</v>
      </c>
      <c r="B35" s="40">
        <f aca="true" t="shared" si="11" ref="B35:G35">B29+B33+B34</f>
        <v>1545195.9999999998</v>
      </c>
      <c r="C35" s="24">
        <f t="shared" si="11"/>
        <v>279117.4</v>
      </c>
      <c r="D35" s="33">
        <f t="shared" si="11"/>
        <v>90339.80000000002</v>
      </c>
      <c r="E35" s="40">
        <f t="shared" si="11"/>
        <v>1319164.8</v>
      </c>
      <c r="F35" s="28">
        <f t="shared" si="11"/>
        <v>244050.1</v>
      </c>
      <c r="G35" s="42">
        <f t="shared" si="11"/>
        <v>72760.09999999999</v>
      </c>
      <c r="H35" s="51">
        <f t="shared" si="9"/>
        <v>-226031.19999999972</v>
      </c>
      <c r="I35" s="52">
        <f t="shared" si="9"/>
        <v>-35067.30000000002</v>
      </c>
      <c r="J35" s="53">
        <f t="shared" si="9"/>
        <v>-17579.700000000026</v>
      </c>
      <c r="K35" s="44">
        <f>E35/B35*100</f>
        <v>85.37200458712036</v>
      </c>
      <c r="L35" s="44">
        <f>F35/C35*100</f>
        <v>87.43636190362908</v>
      </c>
      <c r="M35" s="18">
        <f>G35/D35*100</f>
        <v>80.54047053458163</v>
      </c>
      <c r="N35" s="49">
        <f t="shared" si="8"/>
        <v>85.37200458712036</v>
      </c>
      <c r="O35" s="52">
        <f t="shared" si="8"/>
        <v>87.43636190362908</v>
      </c>
      <c r="P35" s="55">
        <f t="shared" si="8"/>
        <v>80.54047053458163</v>
      </c>
      <c r="Q35" s="43"/>
    </row>
    <row r="36" spans="8:17" ht="12.75">
      <c r="H36" s="43"/>
      <c r="I36" s="43"/>
      <c r="J36" s="43"/>
      <c r="Q36" s="43"/>
    </row>
    <row r="37" spans="1:16" ht="12.75">
      <c r="A37" t="s">
        <v>44</v>
      </c>
      <c r="B37" s="58"/>
      <c r="C37" s="58"/>
      <c r="D37" s="5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2:8" ht="12.75">
      <c r="B38" s="43"/>
      <c r="C38" s="43"/>
      <c r="D38" s="43"/>
      <c r="E38" s="43"/>
      <c r="F38" s="43"/>
      <c r="G38" s="43"/>
      <c r="H38" s="43"/>
    </row>
    <row r="39" ht="12.75">
      <c r="E39" s="50"/>
    </row>
    <row r="41" spans="6:8" ht="12.75">
      <c r="F41" s="43"/>
      <c r="H41" s="43"/>
    </row>
  </sheetData>
  <sheetProtection/>
  <mergeCells count="6">
    <mergeCell ref="A2:P2"/>
    <mergeCell ref="B4:D4"/>
    <mergeCell ref="E4:G4"/>
    <mergeCell ref="H4:J4"/>
    <mergeCell ref="K4:M4"/>
    <mergeCell ref="N4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1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32.75390625" style="0" customWidth="1"/>
    <col min="2" max="2" width="11.125" style="0" customWidth="1"/>
    <col min="3" max="4" width="9.875" style="0" customWidth="1"/>
    <col min="5" max="5" width="10.625" style="0" customWidth="1"/>
    <col min="6" max="6" width="10.00390625" style="0" customWidth="1"/>
    <col min="7" max="7" width="10.125" style="0" customWidth="1"/>
    <col min="8" max="8" width="11.375" style="0" customWidth="1"/>
    <col min="9" max="9" width="10.625" style="0" customWidth="1"/>
    <col min="10" max="10" width="10.125" style="0" customWidth="1"/>
    <col min="11" max="12" width="9.25390625" style="0" hidden="1" customWidth="1"/>
    <col min="13" max="13" width="0.6171875" style="0" hidden="1" customWidth="1"/>
    <col min="14" max="14" width="10.75390625" style="0" customWidth="1"/>
    <col min="15" max="15" width="10.25390625" style="0" customWidth="1"/>
    <col min="16" max="16" width="9.75390625" style="0" customWidth="1"/>
    <col min="17" max="17" width="11.625" style="0" customWidth="1"/>
  </cols>
  <sheetData>
    <row r="2" spans="1:16" ht="18.75" customHeight="1">
      <c r="A2" s="62" t="s">
        <v>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4" spans="1:16" ht="15.75">
      <c r="A4" s="2" t="s">
        <v>12</v>
      </c>
      <c r="B4" s="64" t="s">
        <v>38</v>
      </c>
      <c r="C4" s="65"/>
      <c r="D4" s="66"/>
      <c r="E4" s="64" t="s">
        <v>34</v>
      </c>
      <c r="F4" s="65"/>
      <c r="G4" s="66"/>
      <c r="H4" s="64" t="s">
        <v>35</v>
      </c>
      <c r="I4" s="65"/>
      <c r="J4" s="66"/>
      <c r="K4" s="64" t="s">
        <v>27</v>
      </c>
      <c r="L4" s="65"/>
      <c r="M4" s="66"/>
      <c r="N4" s="64" t="s">
        <v>27</v>
      </c>
      <c r="O4" s="65"/>
      <c r="P4" s="66"/>
    </row>
    <row r="5" spans="1:16" ht="29.25" customHeight="1">
      <c r="A5" s="3"/>
      <c r="B5" s="1" t="s">
        <v>25</v>
      </c>
      <c r="C5" s="1" t="s">
        <v>26</v>
      </c>
      <c r="D5" s="5" t="s">
        <v>28</v>
      </c>
      <c r="E5" s="1" t="s">
        <v>25</v>
      </c>
      <c r="F5" s="1" t="s">
        <v>26</v>
      </c>
      <c r="G5" s="1" t="s">
        <v>28</v>
      </c>
      <c r="H5" s="1" t="s">
        <v>25</v>
      </c>
      <c r="I5" s="1" t="s">
        <v>26</v>
      </c>
      <c r="J5" s="1" t="s">
        <v>28</v>
      </c>
      <c r="K5" s="1" t="s">
        <v>25</v>
      </c>
      <c r="L5" s="1" t="s">
        <v>26</v>
      </c>
      <c r="M5" s="1" t="s">
        <v>28</v>
      </c>
      <c r="N5" s="1" t="s">
        <v>25</v>
      </c>
      <c r="O5" s="1" t="s">
        <v>26</v>
      </c>
      <c r="P5" s="1" t="s">
        <v>28</v>
      </c>
    </row>
    <row r="6" spans="1:16" ht="12.75">
      <c r="A6" s="5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11</v>
      </c>
      <c r="O6" s="4">
        <v>12</v>
      </c>
      <c r="P6" s="4">
        <v>13</v>
      </c>
    </row>
    <row r="7" spans="1:19" ht="13.5" customHeight="1">
      <c r="A7" s="7" t="s">
        <v>0</v>
      </c>
      <c r="B7" s="36">
        <v>241658.6</v>
      </c>
      <c r="C7" s="20">
        <v>80380.1</v>
      </c>
      <c r="D7" s="29">
        <v>9235.4</v>
      </c>
      <c r="E7" s="36">
        <v>34760.7</v>
      </c>
      <c r="F7" s="20">
        <v>11516.7</v>
      </c>
      <c r="G7" s="29">
        <v>1323.9</v>
      </c>
      <c r="H7" s="36">
        <f>E7-B7</f>
        <v>-206897.90000000002</v>
      </c>
      <c r="I7" s="20">
        <f>F7-C7</f>
        <v>-68863.40000000001</v>
      </c>
      <c r="J7" s="29">
        <f>G7-D7</f>
        <v>-7911.5</v>
      </c>
      <c r="K7" s="15">
        <f aca="true" t="shared" si="0" ref="K7:M9">E7/B7*100</f>
        <v>14.384218066313384</v>
      </c>
      <c r="L7" s="15">
        <f t="shared" si="0"/>
        <v>14.327800040059666</v>
      </c>
      <c r="M7" s="15">
        <f t="shared" si="0"/>
        <v>14.33505857894623</v>
      </c>
      <c r="N7" s="36">
        <f>E7/B7*100</f>
        <v>14.384218066313384</v>
      </c>
      <c r="O7" s="20">
        <f>F7/C7*100</f>
        <v>14.327800040059666</v>
      </c>
      <c r="P7" s="29">
        <f>G7/D7*100</f>
        <v>14.33505857894623</v>
      </c>
      <c r="Q7" s="43"/>
      <c r="R7" s="43"/>
      <c r="S7" s="43"/>
    </row>
    <row r="8" spans="1:17" ht="12.75">
      <c r="A8" s="7" t="s">
        <v>23</v>
      </c>
      <c r="B8" s="36">
        <v>5275.7</v>
      </c>
      <c r="C8" s="20">
        <v>3509.7</v>
      </c>
      <c r="D8" s="29">
        <v>3351.8</v>
      </c>
      <c r="E8" s="36">
        <v>617.2</v>
      </c>
      <c r="F8" s="20">
        <v>429.3</v>
      </c>
      <c r="G8" s="29">
        <v>392.1</v>
      </c>
      <c r="H8" s="36">
        <f aca="true" t="shared" si="1" ref="H8:J29">E8-B8</f>
        <v>-4658.5</v>
      </c>
      <c r="I8" s="20">
        <f t="shared" si="1"/>
        <v>-3080.3999999999996</v>
      </c>
      <c r="J8" s="29">
        <f t="shared" si="1"/>
        <v>-2959.7000000000003</v>
      </c>
      <c r="K8" s="15">
        <f t="shared" si="0"/>
        <v>11.698921470136666</v>
      </c>
      <c r="L8" s="15">
        <f t="shared" si="0"/>
        <v>12.231814685015815</v>
      </c>
      <c r="M8" s="15">
        <f t="shared" si="0"/>
        <v>11.698192016230086</v>
      </c>
      <c r="N8" s="36">
        <f aca="true" t="shared" si="2" ref="N8:P27">E8/B8*100</f>
        <v>11.698921470136666</v>
      </c>
      <c r="O8" s="20">
        <f t="shared" si="2"/>
        <v>12.231814685015815</v>
      </c>
      <c r="P8" s="29">
        <f t="shared" si="2"/>
        <v>11.698192016230086</v>
      </c>
      <c r="Q8" s="43"/>
    </row>
    <row r="9" spans="1:17" ht="15.75" customHeight="1">
      <c r="A9" s="7" t="s">
        <v>1</v>
      </c>
      <c r="B9" s="36">
        <v>21178.8</v>
      </c>
      <c r="C9" s="20">
        <v>2150</v>
      </c>
      <c r="D9" s="29">
        <v>169.5</v>
      </c>
      <c r="E9" s="36">
        <v>4225.7</v>
      </c>
      <c r="F9" s="20">
        <v>437.2</v>
      </c>
      <c r="G9" s="29">
        <v>32.3</v>
      </c>
      <c r="H9" s="36">
        <f t="shared" si="1"/>
        <v>-16953.1</v>
      </c>
      <c r="I9" s="20">
        <f t="shared" si="1"/>
        <v>-1712.8</v>
      </c>
      <c r="J9" s="29">
        <f t="shared" si="1"/>
        <v>-137.2</v>
      </c>
      <c r="K9" s="15">
        <f t="shared" si="0"/>
        <v>19.9524996694808</v>
      </c>
      <c r="L9" s="15">
        <f t="shared" si="0"/>
        <v>20.334883720930232</v>
      </c>
      <c r="M9" s="15">
        <f t="shared" si="0"/>
        <v>19.056047197640115</v>
      </c>
      <c r="N9" s="36">
        <f t="shared" si="2"/>
        <v>19.9524996694808</v>
      </c>
      <c r="O9" s="20">
        <f t="shared" si="2"/>
        <v>20.334883720930232</v>
      </c>
      <c r="P9" s="29">
        <f t="shared" si="2"/>
        <v>19.056047197640115</v>
      </c>
      <c r="Q9" s="43"/>
    </row>
    <row r="10" spans="1:17" ht="15" customHeight="1">
      <c r="A10" s="7" t="s">
        <v>2</v>
      </c>
      <c r="B10" s="36">
        <v>0</v>
      </c>
      <c r="C10" s="20">
        <v>190</v>
      </c>
      <c r="D10" s="29">
        <v>5</v>
      </c>
      <c r="E10" s="36">
        <v>0</v>
      </c>
      <c r="F10" s="20">
        <v>0</v>
      </c>
      <c r="G10" s="29">
        <v>1.5</v>
      </c>
      <c r="H10" s="36">
        <f t="shared" si="1"/>
        <v>0</v>
      </c>
      <c r="I10" s="20">
        <f t="shared" si="1"/>
        <v>-190</v>
      </c>
      <c r="J10" s="29">
        <f t="shared" si="1"/>
        <v>-3.5</v>
      </c>
      <c r="K10" s="15">
        <v>0</v>
      </c>
      <c r="L10" s="15">
        <f>F10/C10*100</f>
        <v>0</v>
      </c>
      <c r="M10" s="15">
        <f>G10/D10*100</f>
        <v>30</v>
      </c>
      <c r="N10" s="36">
        <v>0</v>
      </c>
      <c r="O10" s="20">
        <f t="shared" si="2"/>
        <v>0</v>
      </c>
      <c r="P10" s="29">
        <f t="shared" si="2"/>
        <v>30</v>
      </c>
      <c r="Q10" s="43"/>
    </row>
    <row r="11" spans="1:17" ht="24" customHeight="1">
      <c r="A11" s="7" t="s">
        <v>22</v>
      </c>
      <c r="B11" s="36">
        <v>595</v>
      </c>
      <c r="C11" s="20">
        <v>0</v>
      </c>
      <c r="D11" s="29">
        <v>0</v>
      </c>
      <c r="E11" s="36">
        <v>47.3</v>
      </c>
      <c r="F11" s="20">
        <v>0</v>
      </c>
      <c r="G11" s="29">
        <v>0</v>
      </c>
      <c r="H11" s="36">
        <f t="shared" si="1"/>
        <v>-547.7</v>
      </c>
      <c r="I11" s="20">
        <f t="shared" si="1"/>
        <v>0</v>
      </c>
      <c r="J11" s="29">
        <f t="shared" si="1"/>
        <v>0</v>
      </c>
      <c r="K11" s="15">
        <f>E11/B11*100</f>
        <v>7.949579831932772</v>
      </c>
      <c r="L11" s="15">
        <v>0</v>
      </c>
      <c r="M11" s="15">
        <v>0</v>
      </c>
      <c r="N11" s="36">
        <f t="shared" si="2"/>
        <v>7.949579831932772</v>
      </c>
      <c r="O11" s="20">
        <v>0</v>
      </c>
      <c r="P11" s="29">
        <v>0</v>
      </c>
      <c r="Q11" s="43"/>
    </row>
    <row r="12" spans="1:17" ht="14.25" customHeight="1">
      <c r="A12" s="57" t="s">
        <v>16</v>
      </c>
      <c r="B12" s="36">
        <v>0</v>
      </c>
      <c r="C12" s="20">
        <v>22953.4</v>
      </c>
      <c r="D12" s="29">
        <v>3199.9</v>
      </c>
      <c r="E12" s="36">
        <v>0</v>
      </c>
      <c r="F12" s="20">
        <v>1391.8</v>
      </c>
      <c r="G12" s="29">
        <v>214.8</v>
      </c>
      <c r="H12" s="36">
        <f t="shared" si="1"/>
        <v>0</v>
      </c>
      <c r="I12" s="20">
        <f t="shared" si="1"/>
        <v>-21561.600000000002</v>
      </c>
      <c r="J12" s="29">
        <f t="shared" si="1"/>
        <v>-2985.1</v>
      </c>
      <c r="K12" s="15">
        <v>0</v>
      </c>
      <c r="L12" s="15">
        <f aca="true" t="shared" si="3" ref="L12:M15">F12/C12*100</f>
        <v>6.063589707842846</v>
      </c>
      <c r="M12" s="15">
        <f t="shared" si="3"/>
        <v>6.71270977218038</v>
      </c>
      <c r="N12" s="36">
        <v>0</v>
      </c>
      <c r="O12" s="20">
        <f t="shared" si="2"/>
        <v>6.063589707842846</v>
      </c>
      <c r="P12" s="29">
        <f t="shared" si="2"/>
        <v>6.71270977218038</v>
      </c>
      <c r="Q12" s="43"/>
    </row>
    <row r="13" spans="1:17" ht="15" customHeight="1">
      <c r="A13" s="7" t="s">
        <v>18</v>
      </c>
      <c r="B13" s="36">
        <v>7336.8</v>
      </c>
      <c r="C13" s="20">
        <v>7800</v>
      </c>
      <c r="D13" s="29">
        <v>139.9</v>
      </c>
      <c r="E13" s="36">
        <v>1945.4</v>
      </c>
      <c r="F13" s="26">
        <v>1919.8</v>
      </c>
      <c r="G13" s="35">
        <v>25.6</v>
      </c>
      <c r="H13" s="36">
        <f t="shared" si="1"/>
        <v>-5391.4</v>
      </c>
      <c r="I13" s="20">
        <f t="shared" si="1"/>
        <v>-5880.2</v>
      </c>
      <c r="J13" s="29">
        <f t="shared" si="1"/>
        <v>-114.30000000000001</v>
      </c>
      <c r="K13" s="15">
        <f>E13/B13*100</f>
        <v>26.51564714862065</v>
      </c>
      <c r="L13" s="15">
        <f t="shared" si="3"/>
        <v>24.612820512820512</v>
      </c>
      <c r="M13" s="15">
        <f t="shared" si="3"/>
        <v>18.2987848463188</v>
      </c>
      <c r="N13" s="36">
        <f t="shared" si="2"/>
        <v>26.51564714862065</v>
      </c>
      <c r="O13" s="20">
        <f t="shared" si="2"/>
        <v>24.612820512820512</v>
      </c>
      <c r="P13" s="29">
        <f t="shared" si="2"/>
        <v>18.2987848463188</v>
      </c>
      <c r="Q13" s="43"/>
    </row>
    <row r="14" spans="1:17" ht="15" customHeight="1">
      <c r="A14" s="57" t="s">
        <v>19</v>
      </c>
      <c r="B14" s="36">
        <v>24387</v>
      </c>
      <c r="C14" s="20">
        <v>18500</v>
      </c>
      <c r="D14" s="29">
        <v>2650.7</v>
      </c>
      <c r="E14" s="36">
        <v>1661.9</v>
      </c>
      <c r="F14" s="20">
        <v>1334.8</v>
      </c>
      <c r="G14" s="35">
        <f>327.2-0.1</f>
        <v>327.09999999999997</v>
      </c>
      <c r="H14" s="36">
        <f t="shared" si="1"/>
        <v>-22725.1</v>
      </c>
      <c r="I14" s="20">
        <f t="shared" si="1"/>
        <v>-17165.2</v>
      </c>
      <c r="J14" s="29">
        <f t="shared" si="1"/>
        <v>-2323.6</v>
      </c>
      <c r="K14" s="15">
        <f>E14/B14*100</f>
        <v>6.814696354615164</v>
      </c>
      <c r="L14" s="15">
        <f t="shared" si="3"/>
        <v>7.215135135135135</v>
      </c>
      <c r="M14" s="15">
        <f t="shared" si="3"/>
        <v>12.340136567699098</v>
      </c>
      <c r="N14" s="36">
        <f t="shared" si="2"/>
        <v>6.814696354615164</v>
      </c>
      <c r="O14" s="20">
        <f t="shared" si="2"/>
        <v>7.215135135135135</v>
      </c>
      <c r="P14" s="29">
        <f t="shared" si="2"/>
        <v>12.340136567699098</v>
      </c>
      <c r="Q14" s="43"/>
    </row>
    <row r="15" spans="1:17" ht="15.75" customHeight="1">
      <c r="A15" s="7" t="s">
        <v>8</v>
      </c>
      <c r="B15" s="36">
        <v>0</v>
      </c>
      <c r="C15" s="20">
        <v>53800</v>
      </c>
      <c r="D15" s="29">
        <v>14166.8</v>
      </c>
      <c r="E15" s="36">
        <v>0</v>
      </c>
      <c r="F15" s="20">
        <v>11968.1</v>
      </c>
      <c r="G15" s="29">
        <v>1805.6</v>
      </c>
      <c r="H15" s="36">
        <f t="shared" si="1"/>
        <v>0</v>
      </c>
      <c r="I15" s="20">
        <f t="shared" si="1"/>
        <v>-41831.9</v>
      </c>
      <c r="J15" s="29">
        <f t="shared" si="1"/>
        <v>-12361.199999999999</v>
      </c>
      <c r="K15" s="15">
        <v>0</v>
      </c>
      <c r="L15" s="15">
        <f t="shared" si="3"/>
        <v>22.24553903345725</v>
      </c>
      <c r="M15" s="15">
        <f t="shared" si="3"/>
        <v>12.74529180901827</v>
      </c>
      <c r="N15" s="36">
        <v>0</v>
      </c>
      <c r="O15" s="20">
        <f t="shared" si="2"/>
        <v>22.24553903345725</v>
      </c>
      <c r="P15" s="29">
        <f t="shared" si="2"/>
        <v>12.74529180901827</v>
      </c>
      <c r="Q15" s="43"/>
    </row>
    <row r="16" spans="1:17" ht="15" customHeight="1">
      <c r="A16" s="7" t="s">
        <v>3</v>
      </c>
      <c r="B16" s="36">
        <v>8451.2</v>
      </c>
      <c r="C16" s="20">
        <v>0</v>
      </c>
      <c r="D16" s="29">
        <v>63.5</v>
      </c>
      <c r="E16" s="36">
        <v>926.7</v>
      </c>
      <c r="F16" s="20">
        <v>0</v>
      </c>
      <c r="G16" s="29">
        <v>8.8</v>
      </c>
      <c r="H16" s="36">
        <f t="shared" si="1"/>
        <v>-7524.500000000001</v>
      </c>
      <c r="I16" s="20">
        <f t="shared" si="1"/>
        <v>0</v>
      </c>
      <c r="J16" s="29">
        <f t="shared" si="1"/>
        <v>-54.7</v>
      </c>
      <c r="K16" s="15">
        <f>E16/B16*100</f>
        <v>10.965306702006815</v>
      </c>
      <c r="L16" s="15">
        <v>0</v>
      </c>
      <c r="M16" s="15">
        <f>G16/D16*100</f>
        <v>13.858267716535433</v>
      </c>
      <c r="N16" s="36">
        <f t="shared" si="2"/>
        <v>10.965306702006815</v>
      </c>
      <c r="O16" s="20">
        <v>0</v>
      </c>
      <c r="P16" s="29">
        <f t="shared" si="2"/>
        <v>13.858267716535433</v>
      </c>
      <c r="Q16" s="43"/>
    </row>
    <row r="17" spans="1:17" ht="15" customHeight="1">
      <c r="A17" s="59" t="s">
        <v>33</v>
      </c>
      <c r="B17" s="36">
        <v>0</v>
      </c>
      <c r="C17" s="20">
        <v>0</v>
      </c>
      <c r="D17" s="29">
        <v>0</v>
      </c>
      <c r="E17" s="36">
        <v>0</v>
      </c>
      <c r="F17" s="20">
        <v>0</v>
      </c>
      <c r="G17" s="29">
        <v>0</v>
      </c>
      <c r="H17" s="36">
        <f t="shared" si="1"/>
        <v>0</v>
      </c>
      <c r="I17" s="20">
        <f t="shared" si="1"/>
        <v>0</v>
      </c>
      <c r="J17" s="29">
        <f t="shared" si="1"/>
        <v>0</v>
      </c>
      <c r="K17" s="15">
        <v>0</v>
      </c>
      <c r="L17" s="15">
        <v>0</v>
      </c>
      <c r="M17" s="15">
        <v>0</v>
      </c>
      <c r="N17" s="36">
        <v>0</v>
      </c>
      <c r="O17" s="20">
        <v>0</v>
      </c>
      <c r="P17" s="29">
        <v>0</v>
      </c>
      <c r="Q17" s="43"/>
    </row>
    <row r="18" spans="1:17" ht="16.5" customHeight="1">
      <c r="A18" s="59" t="s">
        <v>13</v>
      </c>
      <c r="B18" s="36">
        <v>47368</v>
      </c>
      <c r="C18" s="20">
        <f>17813.4+454</f>
        <v>18267.4</v>
      </c>
      <c r="D18" s="29">
        <v>0</v>
      </c>
      <c r="E18" s="36">
        <v>995.2</v>
      </c>
      <c r="F18" s="20">
        <f>803.5+186.5</f>
        <v>990</v>
      </c>
      <c r="G18" s="29">
        <f>0+0</f>
        <v>0</v>
      </c>
      <c r="H18" s="36">
        <f t="shared" si="1"/>
        <v>-46372.8</v>
      </c>
      <c r="I18" s="20">
        <f t="shared" si="1"/>
        <v>-17277.4</v>
      </c>
      <c r="J18" s="29">
        <f t="shared" si="1"/>
        <v>0</v>
      </c>
      <c r="K18" s="15">
        <f aca="true" t="shared" si="4" ref="K18:L27">E18/B18*100</f>
        <v>2.1009964533018075</v>
      </c>
      <c r="L18" s="15">
        <f t="shared" si="4"/>
        <v>5.419490458412253</v>
      </c>
      <c r="M18" s="15">
        <v>0</v>
      </c>
      <c r="N18" s="36">
        <f t="shared" si="2"/>
        <v>2.1009964533018075</v>
      </c>
      <c r="O18" s="20">
        <f t="shared" si="2"/>
        <v>5.419490458412253</v>
      </c>
      <c r="P18" s="29">
        <v>0</v>
      </c>
      <c r="Q18" s="43"/>
    </row>
    <row r="19" spans="1:17" ht="15" customHeight="1">
      <c r="A19" s="57" t="s">
        <v>4</v>
      </c>
      <c r="B19" s="36">
        <v>4500</v>
      </c>
      <c r="C19" s="20">
        <v>2782</v>
      </c>
      <c r="D19" s="29">
        <v>531.8</v>
      </c>
      <c r="E19" s="36">
        <v>519.8</v>
      </c>
      <c r="F19" s="20">
        <v>472.9</v>
      </c>
      <c r="G19" s="29">
        <v>65.2</v>
      </c>
      <c r="H19" s="36">
        <f t="shared" si="1"/>
        <v>-3980.2</v>
      </c>
      <c r="I19" s="20">
        <f t="shared" si="1"/>
        <v>-2309.1</v>
      </c>
      <c r="J19" s="29">
        <f t="shared" si="1"/>
        <v>-466.59999999999997</v>
      </c>
      <c r="K19" s="15">
        <f t="shared" si="4"/>
        <v>11.55111111111111</v>
      </c>
      <c r="L19" s="15">
        <f t="shared" si="4"/>
        <v>16.99856218547807</v>
      </c>
      <c r="M19" s="15">
        <f>G19/D19*100</f>
        <v>12.260248213614142</v>
      </c>
      <c r="N19" s="36">
        <f t="shared" si="2"/>
        <v>11.55111111111111</v>
      </c>
      <c r="O19" s="20">
        <f t="shared" si="2"/>
        <v>16.99856218547807</v>
      </c>
      <c r="P19" s="29">
        <f t="shared" si="2"/>
        <v>12.260248213614142</v>
      </c>
      <c r="Q19" s="43"/>
    </row>
    <row r="20" spans="1:17" ht="27" customHeight="1">
      <c r="A20" s="59" t="s">
        <v>24</v>
      </c>
      <c r="B20" s="36">
        <f>667+101.6</f>
        <v>768.6</v>
      </c>
      <c r="C20" s="20">
        <f>235.8+2944.5</f>
        <v>3180.3</v>
      </c>
      <c r="D20" s="29">
        <v>0</v>
      </c>
      <c r="E20" s="36">
        <f>0.2+17.9</f>
        <v>18.099999999999998</v>
      </c>
      <c r="F20" s="20">
        <f>0+312.2</f>
        <v>312.2</v>
      </c>
      <c r="G20" s="29">
        <f>0+0</f>
        <v>0</v>
      </c>
      <c r="H20" s="36">
        <f t="shared" si="1"/>
        <v>-750.5</v>
      </c>
      <c r="I20" s="20">
        <f t="shared" si="1"/>
        <v>-2868.1000000000004</v>
      </c>
      <c r="J20" s="29">
        <f t="shared" si="1"/>
        <v>0</v>
      </c>
      <c r="K20" s="15">
        <f t="shared" si="4"/>
        <v>2.3549310434556334</v>
      </c>
      <c r="L20" s="15">
        <f t="shared" si="4"/>
        <v>9.816683960632645</v>
      </c>
      <c r="M20" s="15">
        <v>0</v>
      </c>
      <c r="N20" s="36">
        <f t="shared" si="2"/>
        <v>2.3549310434556334</v>
      </c>
      <c r="O20" s="20">
        <f t="shared" si="2"/>
        <v>9.816683960632645</v>
      </c>
      <c r="P20" s="29">
        <v>0</v>
      </c>
      <c r="Q20" s="43"/>
    </row>
    <row r="21" spans="1:17" ht="16.5" customHeight="1">
      <c r="A21" s="57" t="s">
        <v>5</v>
      </c>
      <c r="B21" s="36">
        <v>6866</v>
      </c>
      <c r="C21" s="20">
        <v>0</v>
      </c>
      <c r="D21" s="29">
        <v>0</v>
      </c>
      <c r="E21" s="36">
        <v>807.2</v>
      </c>
      <c r="F21" s="20">
        <v>0</v>
      </c>
      <c r="G21" s="29">
        <v>0</v>
      </c>
      <c r="H21" s="36">
        <f t="shared" si="1"/>
        <v>-6058.8</v>
      </c>
      <c r="I21" s="20">
        <f t="shared" si="1"/>
        <v>0</v>
      </c>
      <c r="J21" s="29">
        <f t="shared" si="1"/>
        <v>0</v>
      </c>
      <c r="K21" s="15">
        <f t="shared" si="4"/>
        <v>11.756481211768135</v>
      </c>
      <c r="L21" s="15">
        <v>0</v>
      </c>
      <c r="M21" s="15">
        <v>0</v>
      </c>
      <c r="N21" s="36">
        <f t="shared" si="2"/>
        <v>11.756481211768135</v>
      </c>
      <c r="O21" s="20">
        <v>0</v>
      </c>
      <c r="P21" s="29">
        <v>0</v>
      </c>
      <c r="Q21" s="43"/>
    </row>
    <row r="22" spans="1:17" ht="15.75" customHeight="1">
      <c r="A22" s="57" t="s">
        <v>20</v>
      </c>
      <c r="B22" s="36">
        <v>2998</v>
      </c>
      <c r="C22" s="20">
        <v>100</v>
      </c>
      <c r="D22" s="29">
        <v>0</v>
      </c>
      <c r="E22" s="36">
        <v>0.2</v>
      </c>
      <c r="F22" s="20">
        <v>31.2</v>
      </c>
      <c r="G22" s="29">
        <v>0</v>
      </c>
      <c r="H22" s="36">
        <f t="shared" si="1"/>
        <v>-2997.8</v>
      </c>
      <c r="I22" s="20">
        <f t="shared" si="1"/>
        <v>-68.8</v>
      </c>
      <c r="J22" s="29">
        <f t="shared" si="1"/>
        <v>0</v>
      </c>
      <c r="K22" s="15">
        <f t="shared" si="4"/>
        <v>0.0066711140760507</v>
      </c>
      <c r="L22" s="15">
        <f>F22/C22*100</f>
        <v>31.2</v>
      </c>
      <c r="M22" s="15">
        <v>0</v>
      </c>
      <c r="N22" s="36">
        <f t="shared" si="2"/>
        <v>0.0066711140760507</v>
      </c>
      <c r="O22" s="20">
        <f t="shared" si="2"/>
        <v>31.2</v>
      </c>
      <c r="P22" s="29">
        <v>0</v>
      </c>
      <c r="Q22" s="43"/>
    </row>
    <row r="23" spans="1:17" ht="15" customHeight="1">
      <c r="A23" s="57" t="s">
        <v>6</v>
      </c>
      <c r="B23" s="36">
        <v>11.9</v>
      </c>
      <c r="C23" s="20">
        <v>0</v>
      </c>
      <c r="D23" s="29">
        <v>0</v>
      </c>
      <c r="E23" s="36">
        <v>43.2</v>
      </c>
      <c r="F23" s="20">
        <v>0</v>
      </c>
      <c r="G23" s="29">
        <v>0</v>
      </c>
      <c r="H23" s="36">
        <f t="shared" si="1"/>
        <v>31.300000000000004</v>
      </c>
      <c r="I23" s="20">
        <f t="shared" si="1"/>
        <v>0</v>
      </c>
      <c r="J23" s="29">
        <f t="shared" si="1"/>
        <v>0</v>
      </c>
      <c r="K23" s="15">
        <f t="shared" si="4"/>
        <v>363.02521008403363</v>
      </c>
      <c r="L23" s="15" t="e">
        <f>F23/C23*100</f>
        <v>#DIV/0!</v>
      </c>
      <c r="M23" s="15">
        <v>0</v>
      </c>
      <c r="N23" s="36">
        <f t="shared" si="2"/>
        <v>363.02521008403363</v>
      </c>
      <c r="O23" s="20">
        <v>0</v>
      </c>
      <c r="P23" s="29">
        <v>0</v>
      </c>
      <c r="Q23" s="43"/>
    </row>
    <row r="24" spans="1:17" ht="15.75" customHeight="1">
      <c r="A24" s="57" t="s">
        <v>29</v>
      </c>
      <c r="B24" s="36">
        <v>0</v>
      </c>
      <c r="C24" s="20">
        <v>3798.7</v>
      </c>
      <c r="D24" s="29">
        <v>2197.4</v>
      </c>
      <c r="E24" s="36">
        <v>0</v>
      </c>
      <c r="F24" s="20">
        <v>630.1</v>
      </c>
      <c r="G24" s="29">
        <v>0</v>
      </c>
      <c r="H24" s="36">
        <f t="shared" si="1"/>
        <v>0</v>
      </c>
      <c r="I24" s="20">
        <f t="shared" si="1"/>
        <v>-3168.6</v>
      </c>
      <c r="J24" s="29">
        <f t="shared" si="1"/>
        <v>-2197.4</v>
      </c>
      <c r="K24" s="15" t="e">
        <f t="shared" si="4"/>
        <v>#DIV/0!</v>
      </c>
      <c r="L24" s="15">
        <f>F24/C24*100</f>
        <v>16.587253534103773</v>
      </c>
      <c r="M24" s="15">
        <f>G24/D24*100</f>
        <v>0</v>
      </c>
      <c r="N24" s="36">
        <v>0</v>
      </c>
      <c r="O24" s="20">
        <f t="shared" si="2"/>
        <v>16.587253534103773</v>
      </c>
      <c r="P24" s="29">
        <f t="shared" si="2"/>
        <v>0</v>
      </c>
      <c r="Q24" s="43"/>
    </row>
    <row r="25" spans="1:17" ht="27" customHeight="1">
      <c r="A25" s="57" t="s">
        <v>17</v>
      </c>
      <c r="B25" s="36">
        <f>4500+330</f>
        <v>4830</v>
      </c>
      <c r="C25" s="20">
        <f>7618.8+385</f>
        <v>8003.8</v>
      </c>
      <c r="D25" s="29">
        <f>23.2+0</f>
        <v>23.2</v>
      </c>
      <c r="E25" s="36">
        <f>438.8+30.4</f>
        <v>469.2</v>
      </c>
      <c r="F25" s="20">
        <f>1738+10</f>
        <v>1748</v>
      </c>
      <c r="G25" s="29">
        <v>6</v>
      </c>
      <c r="H25" s="36">
        <f t="shared" si="1"/>
        <v>-4360.8</v>
      </c>
      <c r="I25" s="20">
        <f t="shared" si="1"/>
        <v>-6255.8</v>
      </c>
      <c r="J25" s="29">
        <f t="shared" si="1"/>
        <v>-17.2</v>
      </c>
      <c r="K25" s="15">
        <f t="shared" si="4"/>
        <v>9.714285714285714</v>
      </c>
      <c r="L25" s="15">
        <f>F25/C25*100</f>
        <v>21.839626177565655</v>
      </c>
      <c r="M25" s="15">
        <v>0</v>
      </c>
      <c r="N25" s="36">
        <f t="shared" si="2"/>
        <v>9.714285714285714</v>
      </c>
      <c r="O25" s="20">
        <f t="shared" si="2"/>
        <v>21.839626177565655</v>
      </c>
      <c r="P25" s="29">
        <f t="shared" si="2"/>
        <v>25.862068965517242</v>
      </c>
      <c r="Q25" s="43"/>
    </row>
    <row r="26" spans="1:17" ht="16.5" customHeight="1">
      <c r="A26" s="7" t="s">
        <v>7</v>
      </c>
      <c r="B26" s="36">
        <v>6571.5</v>
      </c>
      <c r="C26" s="20">
        <v>130</v>
      </c>
      <c r="D26" s="29">
        <v>1</v>
      </c>
      <c r="E26" s="48">
        <v>941.7</v>
      </c>
      <c r="F26" s="26">
        <v>288</v>
      </c>
      <c r="G26" s="35">
        <v>0</v>
      </c>
      <c r="H26" s="36">
        <f t="shared" si="1"/>
        <v>-5629.8</v>
      </c>
      <c r="I26" s="20">
        <f t="shared" si="1"/>
        <v>158</v>
      </c>
      <c r="J26" s="29">
        <f t="shared" si="1"/>
        <v>-1</v>
      </c>
      <c r="K26" s="15">
        <f t="shared" si="4"/>
        <v>14.330061629764895</v>
      </c>
      <c r="L26" s="15">
        <f>F26/C26*100</f>
        <v>221.53846153846155</v>
      </c>
      <c r="M26" s="15">
        <f>G26/D26*100</f>
        <v>0</v>
      </c>
      <c r="N26" s="36">
        <f t="shared" si="2"/>
        <v>14.330061629764895</v>
      </c>
      <c r="O26" s="20">
        <f t="shared" si="2"/>
        <v>221.53846153846155</v>
      </c>
      <c r="P26" s="29">
        <f t="shared" si="2"/>
        <v>0</v>
      </c>
      <c r="Q26" s="43"/>
    </row>
    <row r="27" spans="1:17" ht="14.25" customHeight="1">
      <c r="A27" s="7" t="s">
        <v>9</v>
      </c>
      <c r="B27" s="36">
        <v>135.5</v>
      </c>
      <c r="C27" s="20">
        <v>0</v>
      </c>
      <c r="D27" s="29">
        <v>49.6</v>
      </c>
      <c r="E27" s="36">
        <v>23.7</v>
      </c>
      <c r="F27" s="20">
        <v>47</v>
      </c>
      <c r="G27" s="29">
        <f>8.3+103.5</f>
        <v>111.8</v>
      </c>
      <c r="H27" s="36">
        <f t="shared" si="1"/>
        <v>-111.8</v>
      </c>
      <c r="I27" s="20">
        <f t="shared" si="1"/>
        <v>47</v>
      </c>
      <c r="J27" s="29">
        <f t="shared" si="1"/>
        <v>62.199999999999996</v>
      </c>
      <c r="K27" s="15">
        <f t="shared" si="4"/>
        <v>17.490774907749078</v>
      </c>
      <c r="L27" s="15">
        <v>0</v>
      </c>
      <c r="M27" s="15">
        <v>0</v>
      </c>
      <c r="N27" s="36">
        <f t="shared" si="2"/>
        <v>17.490774907749078</v>
      </c>
      <c r="O27" s="20">
        <v>0</v>
      </c>
      <c r="P27" s="29">
        <f t="shared" si="2"/>
        <v>225.4032258064516</v>
      </c>
      <c r="Q27" s="43"/>
    </row>
    <row r="28" spans="1:17" ht="16.5" customHeight="1" thickBot="1">
      <c r="A28" s="8" t="s">
        <v>10</v>
      </c>
      <c r="B28" s="37">
        <v>0</v>
      </c>
      <c r="C28" s="21">
        <v>0</v>
      </c>
      <c r="D28" s="30">
        <v>0</v>
      </c>
      <c r="E28" s="37">
        <v>1</v>
      </c>
      <c r="F28" s="25">
        <v>0</v>
      </c>
      <c r="G28" s="34">
        <v>0.2</v>
      </c>
      <c r="H28" s="37">
        <f t="shared" si="1"/>
        <v>1</v>
      </c>
      <c r="I28" s="21">
        <f t="shared" si="1"/>
        <v>0</v>
      </c>
      <c r="J28" s="30">
        <f t="shared" si="1"/>
        <v>0.2</v>
      </c>
      <c r="K28" s="16">
        <v>0</v>
      </c>
      <c r="L28" s="16">
        <v>0</v>
      </c>
      <c r="M28" s="16">
        <v>0</v>
      </c>
      <c r="N28" s="36">
        <v>0</v>
      </c>
      <c r="O28" s="20">
        <v>0</v>
      </c>
      <c r="P28" s="29">
        <v>0</v>
      </c>
      <c r="Q28" s="43"/>
    </row>
    <row r="29" spans="1:17" ht="15" customHeight="1" thickBot="1">
      <c r="A29" s="9" t="s">
        <v>14</v>
      </c>
      <c r="B29" s="38">
        <f>B7+B8+B9+B10+B11+B13+B12+B14+B15+B16+B17+B18+B19+B20+B21+B22+B23+B24+B25+B26+B27+B28</f>
        <v>382932.60000000003</v>
      </c>
      <c r="C29" s="22">
        <f>SUM(C7:C28)</f>
        <v>225545.4</v>
      </c>
      <c r="D29" s="31">
        <f>SUM(D7:D28)</f>
        <v>35785.5</v>
      </c>
      <c r="E29" s="38">
        <f>SUM(E7:E28)</f>
        <v>48004.199999999975</v>
      </c>
      <c r="F29" s="27">
        <f>SUM(F7:F28)</f>
        <v>33517.1</v>
      </c>
      <c r="G29" s="31">
        <f>SUM(G7:G28)</f>
        <v>4314.9</v>
      </c>
      <c r="H29" s="51">
        <f t="shared" si="1"/>
        <v>-334928.4000000001</v>
      </c>
      <c r="I29" s="52">
        <f t="shared" si="1"/>
        <v>-192028.3</v>
      </c>
      <c r="J29" s="53">
        <f t="shared" si="1"/>
        <v>-31470.6</v>
      </c>
      <c r="K29" s="44">
        <f aca="true" t="shared" si="5" ref="K29:M32">E29/B29*100</f>
        <v>12.53593974500995</v>
      </c>
      <c r="L29" s="44">
        <f t="shared" si="5"/>
        <v>14.860467116598256</v>
      </c>
      <c r="M29" s="18">
        <f t="shared" si="5"/>
        <v>12.057676992077795</v>
      </c>
      <c r="N29" s="49">
        <f aca="true" t="shared" si="6" ref="N29:P35">E29/B29*100</f>
        <v>12.53593974500995</v>
      </c>
      <c r="O29" s="52">
        <f t="shared" si="6"/>
        <v>14.860467116598256</v>
      </c>
      <c r="P29" s="55">
        <f t="shared" si="6"/>
        <v>12.057676992077795</v>
      </c>
      <c r="Q29" s="43"/>
    </row>
    <row r="30" spans="1:17" ht="26.25" customHeight="1">
      <c r="A30" s="10" t="s">
        <v>21</v>
      </c>
      <c r="B30" s="39">
        <v>153075.8</v>
      </c>
      <c r="C30" s="23">
        <v>14436.5</v>
      </c>
      <c r="D30" s="32">
        <v>24546.5</v>
      </c>
      <c r="E30" s="39">
        <v>19899.9</v>
      </c>
      <c r="F30" s="23">
        <v>2406.2</v>
      </c>
      <c r="G30" s="32">
        <v>4048.8</v>
      </c>
      <c r="H30" s="39">
        <f aca="true" t="shared" si="7" ref="H30:J35">E30-B30</f>
        <v>-133175.9</v>
      </c>
      <c r="I30" s="23">
        <f t="shared" si="7"/>
        <v>-12030.3</v>
      </c>
      <c r="J30" s="32">
        <f t="shared" si="7"/>
        <v>-20497.7</v>
      </c>
      <c r="K30" s="17">
        <f t="shared" si="5"/>
        <v>13.000030050471729</v>
      </c>
      <c r="L30" s="17">
        <f t="shared" si="5"/>
        <v>16.66747480344959</v>
      </c>
      <c r="M30" s="17">
        <f t="shared" si="5"/>
        <v>16.494408571486773</v>
      </c>
      <c r="N30" s="39">
        <f t="shared" si="6"/>
        <v>13.000030050471729</v>
      </c>
      <c r="O30" s="23">
        <f t="shared" si="6"/>
        <v>16.66747480344959</v>
      </c>
      <c r="P30" s="32">
        <f t="shared" si="6"/>
        <v>16.494408571486773</v>
      </c>
      <c r="Q30" s="43"/>
    </row>
    <row r="31" spans="1:17" ht="27.75" customHeight="1">
      <c r="A31" s="11" t="s">
        <v>32</v>
      </c>
      <c r="B31" s="36">
        <f>30304.1+603137.6+77654.5</f>
        <v>711096.2</v>
      </c>
      <c r="C31" s="20">
        <f>1339.3+1818+0</f>
        <v>3157.3</v>
      </c>
      <c r="D31" s="29">
        <f>0+787.6+8292</f>
        <v>9079.6</v>
      </c>
      <c r="E31" s="36">
        <f>0+114213.1+4962.2+0.1</f>
        <v>119175.40000000001</v>
      </c>
      <c r="F31" s="20">
        <f>100.3+304+0</f>
        <v>404.3</v>
      </c>
      <c r="G31" s="29">
        <f>0+185.5+2500</f>
        <v>2685.5</v>
      </c>
      <c r="H31" s="36">
        <f t="shared" si="7"/>
        <v>-591920.7999999999</v>
      </c>
      <c r="I31" s="23">
        <f t="shared" si="7"/>
        <v>-2753</v>
      </c>
      <c r="J31" s="32">
        <f t="shared" si="7"/>
        <v>-6394.1</v>
      </c>
      <c r="K31" s="17">
        <f t="shared" si="5"/>
        <v>16.75939204850202</v>
      </c>
      <c r="L31" s="15">
        <f t="shared" si="5"/>
        <v>12.805244987806036</v>
      </c>
      <c r="M31" s="15">
        <f t="shared" si="5"/>
        <v>29.577294153927486</v>
      </c>
      <c r="N31" s="36">
        <f t="shared" si="6"/>
        <v>16.75939204850202</v>
      </c>
      <c r="O31" s="20">
        <f t="shared" si="6"/>
        <v>12.805244987806036</v>
      </c>
      <c r="P31" s="29">
        <f t="shared" si="6"/>
        <v>29.577294153927486</v>
      </c>
      <c r="Q31" s="43"/>
    </row>
    <row r="32" spans="1:17" ht="18" customHeight="1" thickBot="1">
      <c r="A32" s="12" t="s">
        <v>11</v>
      </c>
      <c r="B32" s="37">
        <v>0</v>
      </c>
      <c r="C32" s="21">
        <v>0</v>
      </c>
      <c r="D32" s="30">
        <v>0</v>
      </c>
      <c r="E32" s="37">
        <v>183.2</v>
      </c>
      <c r="F32" s="21">
        <v>132</v>
      </c>
      <c r="G32" s="30">
        <v>427.8</v>
      </c>
      <c r="H32" s="37">
        <f t="shared" si="7"/>
        <v>183.2</v>
      </c>
      <c r="I32" s="25">
        <f t="shared" si="7"/>
        <v>132</v>
      </c>
      <c r="J32" s="34">
        <f t="shared" si="7"/>
        <v>427.8</v>
      </c>
      <c r="K32" s="19" t="e">
        <f t="shared" si="5"/>
        <v>#DIV/0!</v>
      </c>
      <c r="L32" s="16">
        <v>0</v>
      </c>
      <c r="M32" s="16" t="e">
        <f t="shared" si="5"/>
        <v>#DIV/0!</v>
      </c>
      <c r="N32" s="36">
        <v>0</v>
      </c>
      <c r="O32" s="21">
        <v>0</v>
      </c>
      <c r="P32" s="29">
        <v>0</v>
      </c>
      <c r="Q32" s="43"/>
    </row>
    <row r="33" spans="1:17" ht="14.25" customHeight="1" thickBot="1">
      <c r="A33" s="13" t="s">
        <v>31</v>
      </c>
      <c r="B33" s="40">
        <f aca="true" t="shared" si="8" ref="B33:G33">SUM(B30:B32)</f>
        <v>864172</v>
      </c>
      <c r="C33" s="24">
        <f t="shared" si="8"/>
        <v>17593.8</v>
      </c>
      <c r="D33" s="33">
        <f t="shared" si="8"/>
        <v>33626.1</v>
      </c>
      <c r="E33" s="40">
        <f t="shared" si="8"/>
        <v>139258.50000000003</v>
      </c>
      <c r="F33" s="24">
        <f t="shared" si="8"/>
        <v>2942.5</v>
      </c>
      <c r="G33" s="33">
        <f t="shared" si="8"/>
        <v>7162.1</v>
      </c>
      <c r="H33" s="51">
        <f t="shared" si="7"/>
        <v>-724913.5</v>
      </c>
      <c r="I33" s="52">
        <f t="shared" si="7"/>
        <v>-14651.3</v>
      </c>
      <c r="J33" s="53">
        <f t="shared" si="7"/>
        <v>-26464</v>
      </c>
      <c r="K33" s="56">
        <f>E33/B33*100</f>
        <v>16.1146739306527</v>
      </c>
      <c r="L33" s="18">
        <f>F33/C33*100</f>
        <v>16.724641635121465</v>
      </c>
      <c r="M33" s="18">
        <f>G33/D33*100</f>
        <v>21.29922887281011</v>
      </c>
      <c r="N33" s="49">
        <f t="shared" si="6"/>
        <v>16.1146739306527</v>
      </c>
      <c r="O33" s="52">
        <f t="shared" si="6"/>
        <v>16.724641635121465</v>
      </c>
      <c r="P33" s="55">
        <f t="shared" si="6"/>
        <v>21.29922887281011</v>
      </c>
      <c r="Q33" s="43"/>
    </row>
    <row r="34" spans="1:17" ht="27" customHeight="1" thickBot="1">
      <c r="A34" s="14" t="s">
        <v>30</v>
      </c>
      <c r="B34" s="41">
        <v>0</v>
      </c>
      <c r="C34" s="25">
        <v>0</v>
      </c>
      <c r="D34" s="34">
        <v>0</v>
      </c>
      <c r="E34" s="41">
        <f>1057.2-4344.1</f>
        <v>-3286.9000000000005</v>
      </c>
      <c r="F34" s="25">
        <f>6303.6-748.2</f>
        <v>5555.400000000001</v>
      </c>
      <c r="G34" s="34">
        <v>-25.1</v>
      </c>
      <c r="H34" s="41">
        <f t="shared" si="7"/>
        <v>-3286.9000000000005</v>
      </c>
      <c r="I34" s="25">
        <f t="shared" si="7"/>
        <v>5555.400000000001</v>
      </c>
      <c r="J34" s="34">
        <f t="shared" si="7"/>
        <v>-25.1</v>
      </c>
      <c r="K34" s="45">
        <v>0</v>
      </c>
      <c r="L34" s="46">
        <v>0</v>
      </c>
      <c r="M34" s="47">
        <v>0</v>
      </c>
      <c r="N34" s="41">
        <v>0</v>
      </c>
      <c r="O34" s="25">
        <v>0</v>
      </c>
      <c r="P34" s="54">
        <v>0</v>
      </c>
      <c r="Q34" s="43"/>
    </row>
    <row r="35" spans="1:17" ht="15" customHeight="1" thickBot="1">
      <c r="A35" s="6" t="s">
        <v>15</v>
      </c>
      <c r="B35" s="40">
        <f aca="true" t="shared" si="9" ref="B35:G35">B29+B33+B34</f>
        <v>1247104.6</v>
      </c>
      <c r="C35" s="24">
        <f t="shared" si="9"/>
        <v>243139.19999999998</v>
      </c>
      <c r="D35" s="33">
        <f t="shared" si="9"/>
        <v>69411.6</v>
      </c>
      <c r="E35" s="49">
        <f t="shared" si="9"/>
        <v>183975.80000000002</v>
      </c>
      <c r="F35" s="28">
        <f t="shared" si="9"/>
        <v>42015</v>
      </c>
      <c r="G35" s="42">
        <f t="shared" si="9"/>
        <v>11451.9</v>
      </c>
      <c r="H35" s="51">
        <f t="shared" si="7"/>
        <v>-1063128.8</v>
      </c>
      <c r="I35" s="52">
        <f t="shared" si="7"/>
        <v>-201124.19999999998</v>
      </c>
      <c r="J35" s="53">
        <f t="shared" si="7"/>
        <v>-57959.700000000004</v>
      </c>
      <c r="K35" s="44">
        <f>E35/B35*100</f>
        <v>14.752234896736008</v>
      </c>
      <c r="L35" s="44">
        <f>F35/C35*100</f>
        <v>17.280224661428516</v>
      </c>
      <c r="M35" s="18">
        <f>G35/D35*100</f>
        <v>16.498539149075945</v>
      </c>
      <c r="N35" s="49">
        <f t="shared" si="6"/>
        <v>14.752234896736008</v>
      </c>
      <c r="O35" s="52">
        <f t="shared" si="6"/>
        <v>17.280224661428516</v>
      </c>
      <c r="P35" s="55">
        <f t="shared" si="6"/>
        <v>16.498539149075945</v>
      </c>
      <c r="Q35" s="43"/>
    </row>
    <row r="36" spans="8:17" ht="12.75">
      <c r="H36" s="43"/>
      <c r="I36" s="43"/>
      <c r="J36" s="43"/>
      <c r="Q36" s="43"/>
    </row>
    <row r="37" spans="1:16" ht="12.75">
      <c r="A37" t="s">
        <v>36</v>
      </c>
      <c r="B37" s="58"/>
      <c r="C37" s="58"/>
      <c r="D37" s="5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2:8" ht="12.75">
      <c r="B38" s="43"/>
      <c r="C38" s="43"/>
      <c r="D38" s="43"/>
      <c r="E38" s="43"/>
      <c r="F38" s="43"/>
      <c r="G38" s="43"/>
      <c r="H38" s="43"/>
    </row>
    <row r="39" ht="12.75">
      <c r="E39" s="50"/>
    </row>
    <row r="41" spans="6:8" ht="12.75">
      <c r="F41" s="43"/>
      <c r="H41" s="43"/>
    </row>
  </sheetData>
  <sheetProtection/>
  <mergeCells count="6">
    <mergeCell ref="A2:P2"/>
    <mergeCell ref="B4:D4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zoomScalePageLayoutView="0" workbookViewId="0" topLeftCell="A4">
      <selection activeCell="F37" sqref="F37"/>
    </sheetView>
  </sheetViews>
  <sheetFormatPr defaultColWidth="9.00390625" defaultRowHeight="12.75"/>
  <cols>
    <col min="1" max="1" width="32.75390625" style="0" customWidth="1"/>
    <col min="2" max="2" width="11.125" style="0" customWidth="1"/>
    <col min="3" max="4" width="9.875" style="0" customWidth="1"/>
    <col min="5" max="5" width="10.625" style="0" customWidth="1"/>
    <col min="6" max="6" width="10.00390625" style="0" customWidth="1"/>
    <col min="7" max="7" width="10.125" style="0" customWidth="1"/>
    <col min="8" max="8" width="11.375" style="0" customWidth="1"/>
    <col min="9" max="9" width="10.625" style="0" customWidth="1"/>
    <col min="10" max="10" width="10.125" style="0" customWidth="1"/>
    <col min="11" max="12" width="9.25390625" style="0" hidden="1" customWidth="1"/>
    <col min="13" max="13" width="0.6171875" style="0" hidden="1" customWidth="1"/>
    <col min="14" max="14" width="10.75390625" style="0" customWidth="1"/>
    <col min="15" max="15" width="10.25390625" style="0" customWidth="1"/>
    <col min="16" max="16" width="9.75390625" style="0" customWidth="1"/>
    <col min="17" max="17" width="11.625" style="0" customWidth="1"/>
  </cols>
  <sheetData>
    <row r="2" spans="1:16" ht="18.75" customHeight="1">
      <c r="A2" s="62" t="s">
        <v>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4" spans="1:16" ht="15.75">
      <c r="A4" s="2" t="s">
        <v>12</v>
      </c>
      <c r="B4" s="64" t="s">
        <v>38</v>
      </c>
      <c r="C4" s="65"/>
      <c r="D4" s="66"/>
      <c r="E4" s="64" t="s">
        <v>34</v>
      </c>
      <c r="F4" s="65"/>
      <c r="G4" s="66"/>
      <c r="H4" s="64" t="s">
        <v>35</v>
      </c>
      <c r="I4" s="65"/>
      <c r="J4" s="66"/>
      <c r="K4" s="64" t="s">
        <v>27</v>
      </c>
      <c r="L4" s="65"/>
      <c r="M4" s="66"/>
      <c r="N4" s="64" t="s">
        <v>27</v>
      </c>
      <c r="O4" s="65"/>
      <c r="P4" s="66"/>
    </row>
    <row r="5" spans="1:16" ht="29.25" customHeight="1">
      <c r="A5" s="3"/>
      <c r="B5" s="1" t="s">
        <v>25</v>
      </c>
      <c r="C5" s="1" t="s">
        <v>26</v>
      </c>
      <c r="D5" s="5" t="s">
        <v>28</v>
      </c>
      <c r="E5" s="1" t="s">
        <v>25</v>
      </c>
      <c r="F5" s="1" t="s">
        <v>26</v>
      </c>
      <c r="G5" s="1" t="s">
        <v>28</v>
      </c>
      <c r="H5" s="1" t="s">
        <v>25</v>
      </c>
      <c r="I5" s="1" t="s">
        <v>26</v>
      </c>
      <c r="J5" s="1" t="s">
        <v>28</v>
      </c>
      <c r="K5" s="1" t="s">
        <v>25</v>
      </c>
      <c r="L5" s="1" t="s">
        <v>26</v>
      </c>
      <c r="M5" s="1" t="s">
        <v>28</v>
      </c>
      <c r="N5" s="1" t="s">
        <v>25</v>
      </c>
      <c r="O5" s="1" t="s">
        <v>26</v>
      </c>
      <c r="P5" s="1" t="s">
        <v>28</v>
      </c>
    </row>
    <row r="6" spans="1:16" ht="12.75">
      <c r="A6" s="5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11</v>
      </c>
      <c r="O6" s="4">
        <v>12</v>
      </c>
      <c r="P6" s="4">
        <v>13</v>
      </c>
    </row>
    <row r="7" spans="1:19" ht="13.5" customHeight="1">
      <c r="A7" s="7" t="s">
        <v>0</v>
      </c>
      <c r="B7" s="36">
        <v>241658.6</v>
      </c>
      <c r="C7" s="20">
        <v>80380.1</v>
      </c>
      <c r="D7" s="29">
        <v>9505.4</v>
      </c>
      <c r="E7" s="36">
        <v>53199.6</v>
      </c>
      <c r="F7" s="20">
        <v>17758.6</v>
      </c>
      <c r="G7" s="29">
        <v>1895.3</v>
      </c>
      <c r="H7" s="36">
        <f>E7-B7</f>
        <v>-188459</v>
      </c>
      <c r="I7" s="20">
        <f>F7-C7</f>
        <v>-62621.50000000001</v>
      </c>
      <c r="J7" s="29">
        <f>G7-D7</f>
        <v>-7610.099999999999</v>
      </c>
      <c r="K7" s="15">
        <f aca="true" t="shared" si="0" ref="K7:M9">E7/B7*100</f>
        <v>22.014362410441837</v>
      </c>
      <c r="L7" s="15">
        <f t="shared" si="0"/>
        <v>22.093279306694065</v>
      </c>
      <c r="M7" s="15">
        <f t="shared" si="0"/>
        <v>19.939192459023293</v>
      </c>
      <c r="N7" s="36">
        <f>E7/B7*100</f>
        <v>22.014362410441837</v>
      </c>
      <c r="O7" s="20">
        <f>F7/C7*100</f>
        <v>22.093279306694065</v>
      </c>
      <c r="P7" s="29">
        <f>G7/D7*100</f>
        <v>19.939192459023293</v>
      </c>
      <c r="Q7" s="43"/>
      <c r="R7" s="43"/>
      <c r="S7" s="43"/>
    </row>
    <row r="8" spans="1:17" ht="12.75">
      <c r="A8" s="7" t="s">
        <v>23</v>
      </c>
      <c r="B8" s="36">
        <v>5275.7</v>
      </c>
      <c r="C8" s="20">
        <v>3509.7</v>
      </c>
      <c r="D8" s="29">
        <v>3351.8</v>
      </c>
      <c r="E8" s="36">
        <v>1321.2</v>
      </c>
      <c r="F8" s="20">
        <v>919</v>
      </c>
      <c r="G8" s="29">
        <v>839.4</v>
      </c>
      <c r="H8" s="36">
        <f aca="true" t="shared" si="1" ref="H8:J29">E8-B8</f>
        <v>-3954.5</v>
      </c>
      <c r="I8" s="20">
        <f t="shared" si="1"/>
        <v>-2590.7</v>
      </c>
      <c r="J8" s="29">
        <f t="shared" si="1"/>
        <v>-2512.4</v>
      </c>
      <c r="K8" s="15">
        <f t="shared" si="0"/>
        <v>25.043122239702793</v>
      </c>
      <c r="L8" s="15">
        <f t="shared" si="0"/>
        <v>26.184574180129356</v>
      </c>
      <c r="M8" s="15">
        <f t="shared" si="0"/>
        <v>25.043260337728977</v>
      </c>
      <c r="N8" s="36">
        <f aca="true" t="shared" si="2" ref="N8:P27">E8/B8*100</f>
        <v>25.043122239702793</v>
      </c>
      <c r="O8" s="20">
        <f t="shared" si="2"/>
        <v>26.184574180129356</v>
      </c>
      <c r="P8" s="29">
        <f t="shared" si="2"/>
        <v>25.043260337728977</v>
      </c>
      <c r="Q8" s="43"/>
    </row>
    <row r="9" spans="1:17" ht="15.75" customHeight="1">
      <c r="A9" s="7" t="s">
        <v>1</v>
      </c>
      <c r="B9" s="36">
        <v>21178.8</v>
      </c>
      <c r="C9" s="20">
        <v>2150</v>
      </c>
      <c r="D9" s="29">
        <v>169.5</v>
      </c>
      <c r="E9" s="36">
        <v>4556.5</v>
      </c>
      <c r="F9" s="20">
        <v>469.9</v>
      </c>
      <c r="G9" s="29">
        <v>36.4</v>
      </c>
      <c r="H9" s="36">
        <f t="shared" si="1"/>
        <v>-16622.3</v>
      </c>
      <c r="I9" s="20">
        <f t="shared" si="1"/>
        <v>-1680.1</v>
      </c>
      <c r="J9" s="29">
        <f t="shared" si="1"/>
        <v>-133.1</v>
      </c>
      <c r="K9" s="15">
        <f t="shared" si="0"/>
        <v>21.514438967269157</v>
      </c>
      <c r="L9" s="15">
        <f t="shared" si="0"/>
        <v>21.855813953488372</v>
      </c>
      <c r="M9" s="15">
        <f t="shared" si="0"/>
        <v>21.474926253687315</v>
      </c>
      <c r="N9" s="36">
        <f t="shared" si="2"/>
        <v>21.514438967269157</v>
      </c>
      <c r="O9" s="20">
        <f t="shared" si="2"/>
        <v>21.855813953488372</v>
      </c>
      <c r="P9" s="29">
        <f t="shared" si="2"/>
        <v>21.474926253687315</v>
      </c>
      <c r="Q9" s="43"/>
    </row>
    <row r="10" spans="1:17" ht="15" customHeight="1">
      <c r="A10" s="7" t="s">
        <v>2</v>
      </c>
      <c r="B10" s="36">
        <v>0</v>
      </c>
      <c r="C10" s="20">
        <v>190</v>
      </c>
      <c r="D10" s="29">
        <v>5</v>
      </c>
      <c r="E10" s="36">
        <v>0</v>
      </c>
      <c r="F10" s="20">
        <v>813.8</v>
      </c>
      <c r="G10" s="29">
        <v>5</v>
      </c>
      <c r="H10" s="36">
        <f t="shared" si="1"/>
        <v>0</v>
      </c>
      <c r="I10" s="20">
        <f t="shared" si="1"/>
        <v>623.8</v>
      </c>
      <c r="J10" s="29">
        <f t="shared" si="1"/>
        <v>0</v>
      </c>
      <c r="K10" s="15">
        <v>0</v>
      </c>
      <c r="L10" s="15">
        <f>F10/C10*100</f>
        <v>428.3157894736842</v>
      </c>
      <c r="M10" s="15">
        <f>G10/D10*100</f>
        <v>100</v>
      </c>
      <c r="N10" s="36">
        <v>0</v>
      </c>
      <c r="O10" s="20">
        <f t="shared" si="2"/>
        <v>428.3157894736842</v>
      </c>
      <c r="P10" s="29">
        <f t="shared" si="2"/>
        <v>100</v>
      </c>
      <c r="Q10" s="43"/>
    </row>
    <row r="11" spans="1:17" ht="24" customHeight="1">
      <c r="A11" s="7" t="s">
        <v>22</v>
      </c>
      <c r="B11" s="36">
        <v>595</v>
      </c>
      <c r="C11" s="20">
        <v>0</v>
      </c>
      <c r="D11" s="29">
        <v>0</v>
      </c>
      <c r="E11" s="36">
        <v>304.2</v>
      </c>
      <c r="F11" s="20">
        <v>0</v>
      </c>
      <c r="G11" s="29">
        <v>0</v>
      </c>
      <c r="H11" s="36">
        <f t="shared" si="1"/>
        <v>-290.8</v>
      </c>
      <c r="I11" s="20">
        <f t="shared" si="1"/>
        <v>0</v>
      </c>
      <c r="J11" s="29">
        <f t="shared" si="1"/>
        <v>0</v>
      </c>
      <c r="K11" s="15">
        <f>E11/B11*100</f>
        <v>51.12605042016807</v>
      </c>
      <c r="L11" s="15">
        <v>0</v>
      </c>
      <c r="M11" s="15">
        <v>0</v>
      </c>
      <c r="N11" s="36">
        <f t="shared" si="2"/>
        <v>51.12605042016807</v>
      </c>
      <c r="O11" s="20">
        <v>0</v>
      </c>
      <c r="P11" s="29">
        <v>0</v>
      </c>
      <c r="Q11" s="43"/>
    </row>
    <row r="12" spans="1:17" ht="14.25" customHeight="1">
      <c r="A12" s="57" t="s">
        <v>16</v>
      </c>
      <c r="B12" s="36">
        <v>0</v>
      </c>
      <c r="C12" s="20">
        <v>23223.4</v>
      </c>
      <c r="D12" s="29">
        <v>3199.9</v>
      </c>
      <c r="E12" s="36">
        <v>0</v>
      </c>
      <c r="F12" s="20">
        <v>1926.3</v>
      </c>
      <c r="G12" s="29">
        <v>242.1</v>
      </c>
      <c r="H12" s="36">
        <f t="shared" si="1"/>
        <v>0</v>
      </c>
      <c r="I12" s="20">
        <f t="shared" si="1"/>
        <v>-21297.100000000002</v>
      </c>
      <c r="J12" s="29">
        <f t="shared" si="1"/>
        <v>-2957.8</v>
      </c>
      <c r="K12" s="15">
        <v>0</v>
      </c>
      <c r="L12" s="15">
        <f aca="true" t="shared" si="3" ref="L12:M15">F12/C12*100</f>
        <v>8.294651084681828</v>
      </c>
      <c r="M12" s="15">
        <f t="shared" si="3"/>
        <v>7.565861433169786</v>
      </c>
      <c r="N12" s="36">
        <v>0</v>
      </c>
      <c r="O12" s="20">
        <f t="shared" si="2"/>
        <v>8.294651084681828</v>
      </c>
      <c r="P12" s="29">
        <f t="shared" si="2"/>
        <v>7.565861433169786</v>
      </c>
      <c r="Q12" s="43"/>
    </row>
    <row r="13" spans="1:17" ht="15" customHeight="1">
      <c r="A13" s="7" t="s">
        <v>18</v>
      </c>
      <c r="B13" s="36">
        <v>7336.8</v>
      </c>
      <c r="C13" s="20">
        <v>7800</v>
      </c>
      <c r="D13" s="29">
        <v>139.9</v>
      </c>
      <c r="E13" s="36">
        <v>2152.8</v>
      </c>
      <c r="F13" s="26">
        <v>2118.6</v>
      </c>
      <c r="G13" s="35">
        <v>34.2</v>
      </c>
      <c r="H13" s="36">
        <f t="shared" si="1"/>
        <v>-5184</v>
      </c>
      <c r="I13" s="20">
        <f t="shared" si="1"/>
        <v>-5681.4</v>
      </c>
      <c r="J13" s="29">
        <f t="shared" si="1"/>
        <v>-105.7</v>
      </c>
      <c r="K13" s="15">
        <f>E13/B13*100</f>
        <v>29.342492639842988</v>
      </c>
      <c r="L13" s="15">
        <f t="shared" si="3"/>
        <v>27.16153846153846</v>
      </c>
      <c r="M13" s="15">
        <f t="shared" si="3"/>
        <v>24.44603288062902</v>
      </c>
      <c r="N13" s="36">
        <f t="shared" si="2"/>
        <v>29.342492639842988</v>
      </c>
      <c r="O13" s="20">
        <f t="shared" si="2"/>
        <v>27.16153846153846</v>
      </c>
      <c r="P13" s="29">
        <f t="shared" si="2"/>
        <v>24.44603288062902</v>
      </c>
      <c r="Q13" s="43"/>
    </row>
    <row r="14" spans="1:17" ht="15" customHeight="1">
      <c r="A14" s="57" t="s">
        <v>19</v>
      </c>
      <c r="B14" s="36">
        <v>24387</v>
      </c>
      <c r="C14" s="20">
        <v>18500</v>
      </c>
      <c r="D14" s="29">
        <v>2650.7</v>
      </c>
      <c r="E14" s="36">
        <v>2324.7</v>
      </c>
      <c r="F14" s="20">
        <v>1919</v>
      </c>
      <c r="G14" s="35">
        <v>405.7</v>
      </c>
      <c r="H14" s="36">
        <f t="shared" si="1"/>
        <v>-22062.3</v>
      </c>
      <c r="I14" s="20">
        <f t="shared" si="1"/>
        <v>-16581</v>
      </c>
      <c r="J14" s="29">
        <f t="shared" si="1"/>
        <v>-2245</v>
      </c>
      <c r="K14" s="15">
        <f>E14/B14*100</f>
        <v>9.53253782753106</v>
      </c>
      <c r="L14" s="15">
        <f t="shared" si="3"/>
        <v>10.372972972972972</v>
      </c>
      <c r="M14" s="15">
        <f t="shared" si="3"/>
        <v>15.30539102878485</v>
      </c>
      <c r="N14" s="36">
        <f t="shared" si="2"/>
        <v>9.53253782753106</v>
      </c>
      <c r="O14" s="20">
        <f t="shared" si="2"/>
        <v>10.372972972972972</v>
      </c>
      <c r="P14" s="29">
        <f t="shared" si="2"/>
        <v>15.30539102878485</v>
      </c>
      <c r="Q14" s="43"/>
    </row>
    <row r="15" spans="1:17" ht="15.75" customHeight="1">
      <c r="A15" s="7" t="s">
        <v>8</v>
      </c>
      <c r="B15" s="36">
        <v>0</v>
      </c>
      <c r="C15" s="20">
        <v>53910</v>
      </c>
      <c r="D15" s="29">
        <v>14166.8</v>
      </c>
      <c r="E15" s="36">
        <v>0</v>
      </c>
      <c r="F15" s="20">
        <v>13613.5</v>
      </c>
      <c r="G15" s="29">
        <v>2610.4</v>
      </c>
      <c r="H15" s="36">
        <f t="shared" si="1"/>
        <v>0</v>
      </c>
      <c r="I15" s="20">
        <f t="shared" si="1"/>
        <v>-40296.5</v>
      </c>
      <c r="J15" s="29">
        <f t="shared" si="1"/>
        <v>-11556.4</v>
      </c>
      <c r="K15" s="15">
        <v>0</v>
      </c>
      <c r="L15" s="15">
        <f t="shared" si="3"/>
        <v>25.252272305694678</v>
      </c>
      <c r="M15" s="15">
        <f t="shared" si="3"/>
        <v>18.426179518310416</v>
      </c>
      <c r="N15" s="36">
        <v>0</v>
      </c>
      <c r="O15" s="20">
        <f t="shared" si="2"/>
        <v>25.252272305694678</v>
      </c>
      <c r="P15" s="29">
        <f t="shared" si="2"/>
        <v>18.426179518310416</v>
      </c>
      <c r="Q15" s="43"/>
    </row>
    <row r="16" spans="1:17" ht="15" customHeight="1">
      <c r="A16" s="7" t="s">
        <v>3</v>
      </c>
      <c r="B16" s="36">
        <v>8451.2</v>
      </c>
      <c r="C16" s="20">
        <v>0</v>
      </c>
      <c r="D16" s="29">
        <v>63.5</v>
      </c>
      <c r="E16" s="36">
        <v>1712.4</v>
      </c>
      <c r="F16" s="20">
        <v>0</v>
      </c>
      <c r="G16" s="29">
        <v>12.1</v>
      </c>
      <c r="H16" s="36">
        <f t="shared" si="1"/>
        <v>-6738.800000000001</v>
      </c>
      <c r="I16" s="20">
        <f t="shared" si="1"/>
        <v>0</v>
      </c>
      <c r="J16" s="29">
        <f t="shared" si="1"/>
        <v>-51.4</v>
      </c>
      <c r="K16" s="15">
        <f>E16/B16*100</f>
        <v>20.262211283604696</v>
      </c>
      <c r="L16" s="15">
        <v>0</v>
      </c>
      <c r="M16" s="15">
        <f>G16/D16*100</f>
        <v>19.05511811023622</v>
      </c>
      <c r="N16" s="36">
        <f t="shared" si="2"/>
        <v>20.262211283604696</v>
      </c>
      <c r="O16" s="20">
        <v>0</v>
      </c>
      <c r="P16" s="29">
        <f t="shared" si="2"/>
        <v>19.05511811023622</v>
      </c>
      <c r="Q16" s="43"/>
    </row>
    <row r="17" spans="1:17" ht="15" customHeight="1">
      <c r="A17" s="59" t="s">
        <v>33</v>
      </c>
      <c r="B17" s="36">
        <v>0</v>
      </c>
      <c r="C17" s="20">
        <v>0</v>
      </c>
      <c r="D17" s="29">
        <v>0</v>
      </c>
      <c r="E17" s="36">
        <v>0</v>
      </c>
      <c r="F17" s="20">
        <v>0</v>
      </c>
      <c r="G17" s="29">
        <v>0</v>
      </c>
      <c r="H17" s="36">
        <f t="shared" si="1"/>
        <v>0</v>
      </c>
      <c r="I17" s="20">
        <f t="shared" si="1"/>
        <v>0</v>
      </c>
      <c r="J17" s="29">
        <f t="shared" si="1"/>
        <v>0</v>
      </c>
      <c r="K17" s="15">
        <v>0</v>
      </c>
      <c r="L17" s="15">
        <v>0</v>
      </c>
      <c r="M17" s="15">
        <v>0</v>
      </c>
      <c r="N17" s="36">
        <v>0</v>
      </c>
      <c r="O17" s="20">
        <v>0</v>
      </c>
      <c r="P17" s="29">
        <v>0</v>
      </c>
      <c r="Q17" s="43"/>
    </row>
    <row r="18" spans="1:17" ht="16.5" customHeight="1">
      <c r="A18" s="59" t="s">
        <v>13</v>
      </c>
      <c r="B18" s="36">
        <f>47368</f>
        <v>47368</v>
      </c>
      <c r="C18" s="20">
        <f>14600+454</f>
        <v>15054</v>
      </c>
      <c r="D18" s="29">
        <v>0</v>
      </c>
      <c r="E18" s="36">
        <v>10972.3</v>
      </c>
      <c r="F18" s="20">
        <f>5001.5+281.4</f>
        <v>5282.9</v>
      </c>
      <c r="G18" s="29">
        <v>0</v>
      </c>
      <c r="H18" s="36">
        <f t="shared" si="1"/>
        <v>-36395.7</v>
      </c>
      <c r="I18" s="20">
        <f t="shared" si="1"/>
        <v>-9771.1</v>
      </c>
      <c r="J18" s="29">
        <f t="shared" si="1"/>
        <v>0</v>
      </c>
      <c r="K18" s="15">
        <f aca="true" t="shared" si="4" ref="K18:L27">E18/B18*100</f>
        <v>23.1639503462253</v>
      </c>
      <c r="L18" s="15">
        <f t="shared" si="4"/>
        <v>35.09299853859439</v>
      </c>
      <c r="M18" s="15">
        <v>0</v>
      </c>
      <c r="N18" s="36">
        <f t="shared" si="2"/>
        <v>23.1639503462253</v>
      </c>
      <c r="O18" s="20">
        <f t="shared" si="2"/>
        <v>35.09299853859439</v>
      </c>
      <c r="P18" s="29">
        <v>0</v>
      </c>
      <c r="Q18" s="43"/>
    </row>
    <row r="19" spans="1:17" ht="15" customHeight="1">
      <c r="A19" s="57" t="s">
        <v>4</v>
      </c>
      <c r="B19" s="36">
        <v>4500</v>
      </c>
      <c r="C19" s="20">
        <v>2782</v>
      </c>
      <c r="D19" s="29">
        <v>531.8</v>
      </c>
      <c r="E19" s="36">
        <v>1045</v>
      </c>
      <c r="F19" s="20">
        <v>672.2</v>
      </c>
      <c r="G19" s="29">
        <v>91</v>
      </c>
      <c r="H19" s="36">
        <f t="shared" si="1"/>
        <v>-3455</v>
      </c>
      <c r="I19" s="20">
        <f t="shared" si="1"/>
        <v>-2109.8</v>
      </c>
      <c r="J19" s="29">
        <f t="shared" si="1"/>
        <v>-440.79999999999995</v>
      </c>
      <c r="K19" s="15">
        <f t="shared" si="4"/>
        <v>23.22222222222222</v>
      </c>
      <c r="L19" s="15">
        <f t="shared" si="4"/>
        <v>24.162473040977716</v>
      </c>
      <c r="M19" s="15">
        <f>G19/D19*100</f>
        <v>17.111696126363295</v>
      </c>
      <c r="N19" s="36">
        <f t="shared" si="2"/>
        <v>23.22222222222222</v>
      </c>
      <c r="O19" s="20">
        <f t="shared" si="2"/>
        <v>24.162473040977716</v>
      </c>
      <c r="P19" s="29">
        <f t="shared" si="2"/>
        <v>17.111696126363295</v>
      </c>
      <c r="Q19" s="43"/>
    </row>
    <row r="20" spans="1:17" ht="27" customHeight="1">
      <c r="A20" s="59" t="s">
        <v>24</v>
      </c>
      <c r="B20" s="36">
        <f>667+101.6</f>
        <v>768.6</v>
      </c>
      <c r="C20" s="20">
        <f>235.8+2944.5</f>
        <v>3180.3</v>
      </c>
      <c r="D20" s="29">
        <v>0</v>
      </c>
      <c r="E20" s="36">
        <f>188.1+25.5</f>
        <v>213.6</v>
      </c>
      <c r="F20" s="20">
        <f>58.9+504.6</f>
        <v>563.5</v>
      </c>
      <c r="G20" s="29">
        <v>0</v>
      </c>
      <c r="H20" s="36">
        <f t="shared" si="1"/>
        <v>-555</v>
      </c>
      <c r="I20" s="20">
        <f t="shared" si="1"/>
        <v>-2616.8</v>
      </c>
      <c r="J20" s="29">
        <f t="shared" si="1"/>
        <v>0</v>
      </c>
      <c r="K20" s="15">
        <f t="shared" si="4"/>
        <v>27.79078844652615</v>
      </c>
      <c r="L20" s="15">
        <f t="shared" si="4"/>
        <v>17.718454233877306</v>
      </c>
      <c r="M20" s="15">
        <v>0</v>
      </c>
      <c r="N20" s="36">
        <f t="shared" si="2"/>
        <v>27.79078844652615</v>
      </c>
      <c r="O20" s="20">
        <f t="shared" si="2"/>
        <v>17.718454233877306</v>
      </c>
      <c r="P20" s="29">
        <v>0</v>
      </c>
      <c r="Q20" s="43"/>
    </row>
    <row r="21" spans="1:17" ht="16.5" customHeight="1">
      <c r="A21" s="57" t="s">
        <v>5</v>
      </c>
      <c r="B21" s="36">
        <v>6866</v>
      </c>
      <c r="C21" s="20">
        <v>0</v>
      </c>
      <c r="D21" s="29">
        <v>0</v>
      </c>
      <c r="E21" s="36">
        <v>1265.2</v>
      </c>
      <c r="F21" s="20">
        <v>0</v>
      </c>
      <c r="G21" s="29">
        <v>0</v>
      </c>
      <c r="H21" s="36">
        <f t="shared" si="1"/>
        <v>-5600.8</v>
      </c>
      <c r="I21" s="20">
        <f t="shared" si="1"/>
        <v>0</v>
      </c>
      <c r="J21" s="29">
        <f t="shared" si="1"/>
        <v>0</v>
      </c>
      <c r="K21" s="15">
        <f t="shared" si="4"/>
        <v>18.427031750655402</v>
      </c>
      <c r="L21" s="15">
        <v>0</v>
      </c>
      <c r="M21" s="15">
        <v>0</v>
      </c>
      <c r="N21" s="36">
        <f t="shared" si="2"/>
        <v>18.427031750655402</v>
      </c>
      <c r="O21" s="20">
        <v>0</v>
      </c>
      <c r="P21" s="29">
        <v>0</v>
      </c>
      <c r="Q21" s="43"/>
    </row>
    <row r="22" spans="1:17" ht="15.75" customHeight="1">
      <c r="A22" s="57" t="s">
        <v>20</v>
      </c>
      <c r="B22" s="36">
        <v>2998</v>
      </c>
      <c r="C22" s="20">
        <v>100</v>
      </c>
      <c r="D22" s="29">
        <v>0</v>
      </c>
      <c r="E22" s="36">
        <v>1.8</v>
      </c>
      <c r="F22" s="20">
        <v>221.1</v>
      </c>
      <c r="G22" s="29">
        <v>0</v>
      </c>
      <c r="H22" s="36">
        <f t="shared" si="1"/>
        <v>-2996.2</v>
      </c>
      <c r="I22" s="20">
        <f t="shared" si="1"/>
        <v>121.1</v>
      </c>
      <c r="J22" s="29">
        <f t="shared" si="1"/>
        <v>0</v>
      </c>
      <c r="K22" s="15">
        <f t="shared" si="4"/>
        <v>0.0600400266844563</v>
      </c>
      <c r="L22" s="15">
        <f>F22/C22*100</f>
        <v>221.1</v>
      </c>
      <c r="M22" s="15">
        <v>0</v>
      </c>
      <c r="N22" s="36">
        <f t="shared" si="2"/>
        <v>0.0600400266844563</v>
      </c>
      <c r="O22" s="20">
        <f t="shared" si="2"/>
        <v>221.1</v>
      </c>
      <c r="P22" s="29">
        <v>0</v>
      </c>
      <c r="Q22" s="43"/>
    </row>
    <row r="23" spans="1:17" ht="15" customHeight="1">
      <c r="A23" s="57" t="s">
        <v>6</v>
      </c>
      <c r="B23" s="36">
        <v>11.9</v>
      </c>
      <c r="C23" s="20">
        <v>0</v>
      </c>
      <c r="D23" s="29">
        <v>0</v>
      </c>
      <c r="E23" s="36">
        <v>77.3</v>
      </c>
      <c r="F23" s="20">
        <v>0</v>
      </c>
      <c r="G23" s="29">
        <v>0</v>
      </c>
      <c r="H23" s="36">
        <f t="shared" si="1"/>
        <v>65.39999999999999</v>
      </c>
      <c r="I23" s="20">
        <f t="shared" si="1"/>
        <v>0</v>
      </c>
      <c r="J23" s="29">
        <f t="shared" si="1"/>
        <v>0</v>
      </c>
      <c r="K23" s="15">
        <f t="shared" si="4"/>
        <v>649.579831932773</v>
      </c>
      <c r="L23" s="15" t="e">
        <f>F23/C23*100</f>
        <v>#DIV/0!</v>
      </c>
      <c r="M23" s="15">
        <v>0</v>
      </c>
      <c r="N23" s="36">
        <f t="shared" si="2"/>
        <v>649.579831932773</v>
      </c>
      <c r="O23" s="20">
        <v>0</v>
      </c>
      <c r="P23" s="29">
        <v>0</v>
      </c>
      <c r="Q23" s="43"/>
    </row>
    <row r="24" spans="1:17" ht="15.75" customHeight="1">
      <c r="A24" s="57" t="s">
        <v>29</v>
      </c>
      <c r="B24" s="36">
        <v>0</v>
      </c>
      <c r="C24" s="20">
        <v>7298.7</v>
      </c>
      <c r="D24" s="29">
        <v>2197.4</v>
      </c>
      <c r="E24" s="36">
        <v>0</v>
      </c>
      <c r="F24" s="20">
        <v>668.4</v>
      </c>
      <c r="G24" s="29">
        <v>0</v>
      </c>
      <c r="H24" s="36">
        <f t="shared" si="1"/>
        <v>0</v>
      </c>
      <c r="I24" s="20">
        <f t="shared" si="1"/>
        <v>-6630.3</v>
      </c>
      <c r="J24" s="29">
        <f t="shared" si="1"/>
        <v>-2197.4</v>
      </c>
      <c r="K24" s="15" t="e">
        <f t="shared" si="4"/>
        <v>#DIV/0!</v>
      </c>
      <c r="L24" s="15">
        <f>F24/C24*100</f>
        <v>9.157795223806978</v>
      </c>
      <c r="M24" s="15">
        <f>G24/D24*100</f>
        <v>0</v>
      </c>
      <c r="N24" s="36">
        <v>0</v>
      </c>
      <c r="O24" s="20">
        <f t="shared" si="2"/>
        <v>9.157795223806978</v>
      </c>
      <c r="P24" s="29">
        <f t="shared" si="2"/>
        <v>0</v>
      </c>
      <c r="Q24" s="43"/>
    </row>
    <row r="25" spans="1:17" ht="27" customHeight="1">
      <c r="A25" s="57" t="s">
        <v>17</v>
      </c>
      <c r="B25" s="36">
        <f>4500+330</f>
        <v>4830</v>
      </c>
      <c r="C25" s="20">
        <f>7618.8+385</f>
        <v>8003.8</v>
      </c>
      <c r="D25" s="29">
        <v>23.2</v>
      </c>
      <c r="E25" s="36">
        <f>3075.9+51</f>
        <v>3126.9</v>
      </c>
      <c r="F25" s="20">
        <f>3887.1+18.6</f>
        <v>3905.7</v>
      </c>
      <c r="G25" s="29">
        <v>-33.9</v>
      </c>
      <c r="H25" s="36">
        <f t="shared" si="1"/>
        <v>-1703.1</v>
      </c>
      <c r="I25" s="20">
        <f t="shared" si="1"/>
        <v>-4098.1</v>
      </c>
      <c r="J25" s="29">
        <f t="shared" si="1"/>
        <v>-57.099999999999994</v>
      </c>
      <c r="K25" s="15">
        <f t="shared" si="4"/>
        <v>64.73913043478261</v>
      </c>
      <c r="L25" s="15">
        <f>F25/C25*100</f>
        <v>48.79807091631474</v>
      </c>
      <c r="M25" s="15">
        <v>0</v>
      </c>
      <c r="N25" s="36">
        <f t="shared" si="2"/>
        <v>64.73913043478261</v>
      </c>
      <c r="O25" s="20">
        <f t="shared" si="2"/>
        <v>48.79807091631474</v>
      </c>
      <c r="P25" s="29">
        <f t="shared" si="2"/>
        <v>-146.1206896551724</v>
      </c>
      <c r="Q25" s="43"/>
    </row>
    <row r="26" spans="1:17" ht="16.5" customHeight="1">
      <c r="A26" s="7" t="s">
        <v>7</v>
      </c>
      <c r="B26" s="36">
        <v>6571.5</v>
      </c>
      <c r="C26" s="20">
        <v>130</v>
      </c>
      <c r="D26" s="29">
        <v>1</v>
      </c>
      <c r="E26" s="48">
        <v>1176.4</v>
      </c>
      <c r="F26" s="26">
        <v>312.9</v>
      </c>
      <c r="G26" s="35">
        <v>5.3</v>
      </c>
      <c r="H26" s="36">
        <f t="shared" si="1"/>
        <v>-5395.1</v>
      </c>
      <c r="I26" s="20">
        <f t="shared" si="1"/>
        <v>182.89999999999998</v>
      </c>
      <c r="J26" s="29">
        <f t="shared" si="1"/>
        <v>4.3</v>
      </c>
      <c r="K26" s="15">
        <f t="shared" si="4"/>
        <v>17.90154454842882</v>
      </c>
      <c r="L26" s="15">
        <f>F26/C26*100</f>
        <v>240.69230769230768</v>
      </c>
      <c r="M26" s="15">
        <f>G26/D26*100</f>
        <v>530</v>
      </c>
      <c r="N26" s="36">
        <f t="shared" si="2"/>
        <v>17.90154454842882</v>
      </c>
      <c r="O26" s="20">
        <f t="shared" si="2"/>
        <v>240.69230769230768</v>
      </c>
      <c r="P26" s="29">
        <f t="shared" si="2"/>
        <v>530</v>
      </c>
      <c r="Q26" s="43"/>
    </row>
    <row r="27" spans="1:17" ht="14.25" customHeight="1">
      <c r="A27" s="7" t="s">
        <v>9</v>
      </c>
      <c r="B27" s="36">
        <v>135.5</v>
      </c>
      <c r="C27" s="20">
        <v>0</v>
      </c>
      <c r="D27" s="29">
        <v>49.6</v>
      </c>
      <c r="E27" s="36">
        <v>25.9</v>
      </c>
      <c r="F27" s="20">
        <v>49.2</v>
      </c>
      <c r="G27" s="29">
        <f>8.3+136.8</f>
        <v>145.10000000000002</v>
      </c>
      <c r="H27" s="36">
        <f t="shared" si="1"/>
        <v>-109.6</v>
      </c>
      <c r="I27" s="20">
        <f t="shared" si="1"/>
        <v>49.2</v>
      </c>
      <c r="J27" s="29">
        <f t="shared" si="1"/>
        <v>95.50000000000003</v>
      </c>
      <c r="K27" s="15">
        <f t="shared" si="4"/>
        <v>19.114391143911437</v>
      </c>
      <c r="L27" s="15">
        <v>0</v>
      </c>
      <c r="M27" s="15">
        <v>0</v>
      </c>
      <c r="N27" s="36">
        <f t="shared" si="2"/>
        <v>19.114391143911437</v>
      </c>
      <c r="O27" s="20">
        <v>0</v>
      </c>
      <c r="P27" s="29">
        <f t="shared" si="2"/>
        <v>292.5403225806452</v>
      </c>
      <c r="Q27" s="43"/>
    </row>
    <row r="28" spans="1:17" ht="16.5" customHeight="1" thickBot="1">
      <c r="A28" s="8" t="s">
        <v>10</v>
      </c>
      <c r="B28" s="37">
        <v>0</v>
      </c>
      <c r="C28" s="21">
        <v>0</v>
      </c>
      <c r="D28" s="30">
        <v>0</v>
      </c>
      <c r="E28" s="37">
        <v>79.3</v>
      </c>
      <c r="F28" s="25">
        <v>0</v>
      </c>
      <c r="G28" s="34">
        <v>0</v>
      </c>
      <c r="H28" s="37">
        <f t="shared" si="1"/>
        <v>79.3</v>
      </c>
      <c r="I28" s="21">
        <f t="shared" si="1"/>
        <v>0</v>
      </c>
      <c r="J28" s="30">
        <f t="shared" si="1"/>
        <v>0</v>
      </c>
      <c r="K28" s="16">
        <v>0</v>
      </c>
      <c r="L28" s="16">
        <v>0</v>
      </c>
      <c r="M28" s="16">
        <v>0</v>
      </c>
      <c r="N28" s="36">
        <v>0</v>
      </c>
      <c r="O28" s="20">
        <v>0</v>
      </c>
      <c r="P28" s="29">
        <v>0</v>
      </c>
      <c r="Q28" s="43"/>
    </row>
    <row r="29" spans="1:17" ht="15" customHeight="1" thickBot="1">
      <c r="A29" s="9" t="s">
        <v>14</v>
      </c>
      <c r="B29" s="38">
        <f>B7+B8+B9+B10+B11+B13+B12+B14+B15+B16+B17+B18+B19+B20+B21+B22+B23+B24+B25+B26+B27+B28</f>
        <v>382932.60000000003</v>
      </c>
      <c r="C29" s="22">
        <f>SUM(C7:C28)</f>
        <v>226212</v>
      </c>
      <c r="D29" s="31">
        <f>SUM(D7:D28)</f>
        <v>36055.5</v>
      </c>
      <c r="E29" s="38">
        <f>SUM(E7:E28)</f>
        <v>83555.09999999999</v>
      </c>
      <c r="F29" s="27">
        <f>SUM(F7:F28)</f>
        <v>51214.59999999999</v>
      </c>
      <c r="G29" s="31">
        <f>SUM(G7:G28)</f>
        <v>6288.100000000001</v>
      </c>
      <c r="H29" s="51">
        <f t="shared" si="1"/>
        <v>-299377.50000000006</v>
      </c>
      <c r="I29" s="52">
        <f t="shared" si="1"/>
        <v>-174997.40000000002</v>
      </c>
      <c r="J29" s="53">
        <f t="shared" si="1"/>
        <v>-29767.399999999998</v>
      </c>
      <c r="K29" s="44">
        <f aca="true" t="shared" si="5" ref="K29:M32">E29/B29*100</f>
        <v>21.819792830383204</v>
      </c>
      <c r="L29" s="44">
        <f t="shared" si="5"/>
        <v>22.6400898272417</v>
      </c>
      <c r="M29" s="18">
        <f t="shared" si="5"/>
        <v>17.440057688840817</v>
      </c>
      <c r="N29" s="49">
        <f aca="true" t="shared" si="6" ref="N29:P35">E29/B29*100</f>
        <v>21.819792830383204</v>
      </c>
      <c r="O29" s="52">
        <f t="shared" si="6"/>
        <v>22.6400898272417</v>
      </c>
      <c r="P29" s="55">
        <f t="shared" si="6"/>
        <v>17.440057688840817</v>
      </c>
      <c r="Q29" s="43"/>
    </row>
    <row r="30" spans="1:17" ht="26.25" customHeight="1">
      <c r="A30" s="10" t="s">
        <v>21</v>
      </c>
      <c r="B30" s="39">
        <v>153075.8</v>
      </c>
      <c r="C30" s="23">
        <v>14436.5</v>
      </c>
      <c r="D30" s="32">
        <v>24546.5</v>
      </c>
      <c r="E30" s="39">
        <v>30615.2</v>
      </c>
      <c r="F30" s="23">
        <v>3609.3</v>
      </c>
      <c r="G30" s="32">
        <v>5645.5</v>
      </c>
      <c r="H30" s="39">
        <f aca="true" t="shared" si="7" ref="H30:J35">E30-B30</f>
        <v>-122460.59999999999</v>
      </c>
      <c r="I30" s="23">
        <f t="shared" si="7"/>
        <v>-10827.2</v>
      </c>
      <c r="J30" s="32">
        <f t="shared" si="7"/>
        <v>-18901</v>
      </c>
      <c r="K30" s="17">
        <f t="shared" si="5"/>
        <v>20.000026130844983</v>
      </c>
      <c r="L30" s="17">
        <f t="shared" si="5"/>
        <v>25.001212205174383</v>
      </c>
      <c r="M30" s="17">
        <f t="shared" si="5"/>
        <v>22.999205589391565</v>
      </c>
      <c r="N30" s="39">
        <f t="shared" si="6"/>
        <v>20.000026130844983</v>
      </c>
      <c r="O30" s="23">
        <f t="shared" si="6"/>
        <v>25.001212205174383</v>
      </c>
      <c r="P30" s="32">
        <f t="shared" si="6"/>
        <v>22.999205589391565</v>
      </c>
      <c r="Q30" s="43"/>
    </row>
    <row r="31" spans="1:17" ht="27.75" customHeight="1">
      <c r="A31" s="11" t="s">
        <v>32</v>
      </c>
      <c r="B31" s="36">
        <f>117809.9+603137.7+79611.7</f>
        <v>800559.2999999999</v>
      </c>
      <c r="C31" s="20">
        <f>3063.5+1818+1876.7</f>
        <v>6758.2</v>
      </c>
      <c r="D31" s="29">
        <f>5804+787.5+8292</f>
        <v>14883.5</v>
      </c>
      <c r="E31" s="36">
        <f>13238.6+163258.2+5997.3</f>
        <v>182494.1</v>
      </c>
      <c r="F31" s="20">
        <f>100.3+517.2+0</f>
        <v>617.5</v>
      </c>
      <c r="G31" s="29">
        <f>247.6+198.5+2500</f>
        <v>2946.1</v>
      </c>
      <c r="H31" s="36">
        <f t="shared" si="7"/>
        <v>-618065.2</v>
      </c>
      <c r="I31" s="23">
        <f t="shared" si="7"/>
        <v>-6140.7</v>
      </c>
      <c r="J31" s="32">
        <f t="shared" si="7"/>
        <v>-11937.4</v>
      </c>
      <c r="K31" s="17">
        <f t="shared" si="5"/>
        <v>22.79582536858919</v>
      </c>
      <c r="L31" s="15">
        <f t="shared" si="5"/>
        <v>9.137048326477466</v>
      </c>
      <c r="M31" s="15">
        <f t="shared" si="5"/>
        <v>19.79440319817247</v>
      </c>
      <c r="N31" s="36">
        <f t="shared" si="6"/>
        <v>22.79582536858919</v>
      </c>
      <c r="O31" s="20">
        <f t="shared" si="6"/>
        <v>9.137048326477466</v>
      </c>
      <c r="P31" s="29">
        <f t="shared" si="6"/>
        <v>19.79440319817247</v>
      </c>
      <c r="Q31" s="43"/>
    </row>
    <row r="32" spans="1:17" ht="18" customHeight="1" thickBot="1">
      <c r="A32" s="12" t="s">
        <v>11</v>
      </c>
      <c r="B32" s="37">
        <v>183.2</v>
      </c>
      <c r="C32" s="21">
        <v>0</v>
      </c>
      <c r="D32" s="30">
        <v>98.1</v>
      </c>
      <c r="E32" s="37">
        <v>183.2</v>
      </c>
      <c r="F32" s="21">
        <v>157</v>
      </c>
      <c r="G32" s="30">
        <v>498.5</v>
      </c>
      <c r="H32" s="37">
        <f t="shared" si="7"/>
        <v>0</v>
      </c>
      <c r="I32" s="25">
        <f t="shared" si="7"/>
        <v>157</v>
      </c>
      <c r="J32" s="34">
        <f t="shared" si="7"/>
        <v>400.4</v>
      </c>
      <c r="K32" s="19">
        <f t="shared" si="5"/>
        <v>100</v>
      </c>
      <c r="L32" s="16">
        <v>0</v>
      </c>
      <c r="M32" s="16">
        <f t="shared" si="5"/>
        <v>508.15494393476047</v>
      </c>
      <c r="N32" s="36">
        <v>0</v>
      </c>
      <c r="O32" s="21">
        <v>0</v>
      </c>
      <c r="P32" s="29">
        <v>0</v>
      </c>
      <c r="Q32" s="43"/>
    </row>
    <row r="33" spans="1:17" ht="14.25" customHeight="1" thickBot="1">
      <c r="A33" s="13" t="s">
        <v>31</v>
      </c>
      <c r="B33" s="40">
        <f aca="true" t="shared" si="8" ref="B33:G33">SUM(B30:B32)</f>
        <v>953818.2999999998</v>
      </c>
      <c r="C33" s="24">
        <f t="shared" si="8"/>
        <v>21194.7</v>
      </c>
      <c r="D33" s="33">
        <f t="shared" si="8"/>
        <v>39528.1</v>
      </c>
      <c r="E33" s="40">
        <f t="shared" si="8"/>
        <v>213292.50000000003</v>
      </c>
      <c r="F33" s="24">
        <f t="shared" si="8"/>
        <v>4383.8</v>
      </c>
      <c r="G33" s="33">
        <f t="shared" si="8"/>
        <v>9090.1</v>
      </c>
      <c r="H33" s="51">
        <f t="shared" si="7"/>
        <v>-740525.7999999998</v>
      </c>
      <c r="I33" s="52">
        <f t="shared" si="7"/>
        <v>-16810.9</v>
      </c>
      <c r="J33" s="53">
        <f t="shared" si="7"/>
        <v>-30438</v>
      </c>
      <c r="K33" s="56">
        <f>E33/B33*100</f>
        <v>22.361963489272547</v>
      </c>
      <c r="L33" s="18">
        <f>F33/C33*100</f>
        <v>20.683472754981196</v>
      </c>
      <c r="M33" s="18">
        <f>G33/D33*100</f>
        <v>22.9965518200976</v>
      </c>
      <c r="N33" s="49">
        <f t="shared" si="6"/>
        <v>22.361963489272547</v>
      </c>
      <c r="O33" s="52">
        <f t="shared" si="6"/>
        <v>20.683472754981196</v>
      </c>
      <c r="P33" s="55">
        <f t="shared" si="6"/>
        <v>22.9965518200976</v>
      </c>
      <c r="Q33" s="43"/>
    </row>
    <row r="34" spans="1:17" ht="27" customHeight="1" thickBot="1">
      <c r="A34" s="14" t="s">
        <v>30</v>
      </c>
      <c r="B34" s="41">
        <v>0</v>
      </c>
      <c r="C34" s="25">
        <v>6317.5</v>
      </c>
      <c r="D34" s="34">
        <v>81.6</v>
      </c>
      <c r="E34" s="41">
        <f>1214.4-4426.5</f>
        <v>-3212.1</v>
      </c>
      <c r="F34" s="25">
        <f>6333.8-748.2</f>
        <v>5585.6</v>
      </c>
      <c r="G34" s="34">
        <f>82.3-57.4</f>
        <v>24.9</v>
      </c>
      <c r="H34" s="41">
        <f t="shared" si="7"/>
        <v>-3212.1</v>
      </c>
      <c r="I34" s="25">
        <f t="shared" si="7"/>
        <v>-731.8999999999996</v>
      </c>
      <c r="J34" s="34">
        <f t="shared" si="7"/>
        <v>-56.699999999999996</v>
      </c>
      <c r="K34" s="45">
        <v>0</v>
      </c>
      <c r="L34" s="46">
        <v>0</v>
      </c>
      <c r="M34" s="47">
        <v>0</v>
      </c>
      <c r="N34" s="41">
        <v>0</v>
      </c>
      <c r="O34" s="25">
        <v>0</v>
      </c>
      <c r="P34" s="54">
        <v>0</v>
      </c>
      <c r="Q34" s="43"/>
    </row>
    <row r="35" spans="1:17" ht="15" customHeight="1" thickBot="1">
      <c r="A35" s="6" t="s">
        <v>15</v>
      </c>
      <c r="B35" s="40">
        <f aca="true" t="shared" si="9" ref="B35:G35">B29+B33+B34</f>
        <v>1336750.9</v>
      </c>
      <c r="C35" s="24">
        <f t="shared" si="9"/>
        <v>253724.2</v>
      </c>
      <c r="D35" s="33">
        <f t="shared" si="9"/>
        <v>75665.20000000001</v>
      </c>
      <c r="E35" s="49">
        <f t="shared" si="9"/>
        <v>293635.50000000006</v>
      </c>
      <c r="F35" s="28">
        <f t="shared" si="9"/>
        <v>61183.99999999999</v>
      </c>
      <c r="G35" s="42">
        <f t="shared" si="9"/>
        <v>15403.1</v>
      </c>
      <c r="H35" s="51">
        <f t="shared" si="7"/>
        <v>-1043115.3999999999</v>
      </c>
      <c r="I35" s="52">
        <f t="shared" si="7"/>
        <v>-192540.2</v>
      </c>
      <c r="J35" s="53">
        <f t="shared" si="7"/>
        <v>-60262.10000000001</v>
      </c>
      <c r="K35" s="44">
        <f>E35/B35*100</f>
        <v>21.966358878082676</v>
      </c>
      <c r="L35" s="44">
        <f>F35/C35*100</f>
        <v>24.11437300817186</v>
      </c>
      <c r="M35" s="18">
        <f>G35/D35*100</f>
        <v>20.356914407151503</v>
      </c>
      <c r="N35" s="49">
        <f t="shared" si="6"/>
        <v>21.966358878082676</v>
      </c>
      <c r="O35" s="52">
        <f t="shared" si="6"/>
        <v>24.11437300817186</v>
      </c>
      <c r="P35" s="55">
        <f t="shared" si="6"/>
        <v>20.356914407151503</v>
      </c>
      <c r="Q35" s="43"/>
    </row>
    <row r="36" spans="8:17" ht="12.75">
      <c r="H36" s="43"/>
      <c r="I36" s="43"/>
      <c r="J36" s="43"/>
      <c r="Q36" s="43"/>
    </row>
    <row r="37" spans="1:16" ht="12.75">
      <c r="A37" t="s">
        <v>41</v>
      </c>
      <c r="B37" s="58"/>
      <c r="C37" s="58"/>
      <c r="D37" s="5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2:8" ht="12.75">
      <c r="B38" s="43"/>
      <c r="C38" s="43"/>
      <c r="D38" s="43"/>
      <c r="E38" s="43"/>
      <c r="F38" s="43"/>
      <c r="G38" s="43"/>
      <c r="H38" s="43"/>
    </row>
    <row r="39" ht="12.75">
      <c r="E39" s="50"/>
    </row>
    <row r="41" spans="6:8" ht="12.75">
      <c r="F41" s="43"/>
      <c r="H41" s="43"/>
    </row>
  </sheetData>
  <sheetProtection/>
  <mergeCells count="6">
    <mergeCell ref="A2:P2"/>
    <mergeCell ref="B4:D4"/>
    <mergeCell ref="E4:G4"/>
    <mergeCell ref="H4:J4"/>
    <mergeCell ref="K4:M4"/>
    <mergeCell ref="N4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2.75390625" style="0" customWidth="1"/>
    <col min="2" max="2" width="11.125" style="0" customWidth="1"/>
    <col min="3" max="4" width="9.875" style="0" customWidth="1"/>
    <col min="5" max="5" width="10.625" style="0" customWidth="1"/>
    <col min="6" max="6" width="10.00390625" style="0" customWidth="1"/>
    <col min="7" max="7" width="10.125" style="0" customWidth="1"/>
    <col min="8" max="8" width="11.375" style="0" customWidth="1"/>
    <col min="9" max="9" width="10.625" style="0" customWidth="1"/>
    <col min="10" max="10" width="10.125" style="0" customWidth="1"/>
    <col min="11" max="12" width="9.25390625" style="0" hidden="1" customWidth="1"/>
    <col min="13" max="13" width="0.6171875" style="0" hidden="1" customWidth="1"/>
    <col min="14" max="14" width="10.75390625" style="0" customWidth="1"/>
    <col min="15" max="15" width="10.25390625" style="0" customWidth="1"/>
    <col min="16" max="16" width="9.75390625" style="0" customWidth="1"/>
    <col min="17" max="17" width="11.625" style="0" customWidth="1"/>
  </cols>
  <sheetData>
    <row r="2" spans="1:16" ht="18.75" customHeight="1">
      <c r="A2" s="62" t="s">
        <v>42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4" spans="1:16" ht="15.75">
      <c r="A4" s="2" t="s">
        <v>12</v>
      </c>
      <c r="B4" s="64" t="s">
        <v>38</v>
      </c>
      <c r="C4" s="65"/>
      <c r="D4" s="66"/>
      <c r="E4" s="64" t="s">
        <v>34</v>
      </c>
      <c r="F4" s="65"/>
      <c r="G4" s="66"/>
      <c r="H4" s="64" t="s">
        <v>35</v>
      </c>
      <c r="I4" s="65"/>
      <c r="J4" s="66"/>
      <c r="K4" s="64" t="s">
        <v>27</v>
      </c>
      <c r="L4" s="65"/>
      <c r="M4" s="66"/>
      <c r="N4" s="64" t="s">
        <v>27</v>
      </c>
      <c r="O4" s="65"/>
      <c r="P4" s="66"/>
    </row>
    <row r="5" spans="1:16" ht="29.25" customHeight="1">
      <c r="A5" s="3"/>
      <c r="B5" s="1" t="s">
        <v>25</v>
      </c>
      <c r="C5" s="1" t="s">
        <v>26</v>
      </c>
      <c r="D5" s="5" t="s">
        <v>28</v>
      </c>
      <c r="E5" s="1" t="s">
        <v>25</v>
      </c>
      <c r="F5" s="1" t="s">
        <v>26</v>
      </c>
      <c r="G5" s="1" t="s">
        <v>28</v>
      </c>
      <c r="H5" s="1" t="s">
        <v>25</v>
      </c>
      <c r="I5" s="1" t="s">
        <v>26</v>
      </c>
      <c r="J5" s="1" t="s">
        <v>28</v>
      </c>
      <c r="K5" s="1" t="s">
        <v>25</v>
      </c>
      <c r="L5" s="1" t="s">
        <v>26</v>
      </c>
      <c r="M5" s="1" t="s">
        <v>28</v>
      </c>
      <c r="N5" s="1" t="s">
        <v>25</v>
      </c>
      <c r="O5" s="1" t="s">
        <v>26</v>
      </c>
      <c r="P5" s="1" t="s">
        <v>28</v>
      </c>
    </row>
    <row r="6" spans="1:16" ht="12.75">
      <c r="A6" s="5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11</v>
      </c>
      <c r="O6" s="4">
        <v>12</v>
      </c>
      <c r="P6" s="4">
        <v>13</v>
      </c>
    </row>
    <row r="7" spans="1:19" ht="13.5" customHeight="1">
      <c r="A7" s="7" t="s">
        <v>0</v>
      </c>
      <c r="B7" s="36">
        <v>241658.6</v>
      </c>
      <c r="C7" s="20">
        <v>80380.1</v>
      </c>
      <c r="D7" s="29">
        <v>9505.4</v>
      </c>
      <c r="E7" s="36">
        <v>73882.1</v>
      </c>
      <c r="F7" s="20">
        <v>24662.6</v>
      </c>
      <c r="G7" s="29">
        <v>2619.7</v>
      </c>
      <c r="H7" s="36">
        <f>E7-B7</f>
        <v>-167776.5</v>
      </c>
      <c r="I7" s="20">
        <f>F7-C7</f>
        <v>-55717.50000000001</v>
      </c>
      <c r="J7" s="29">
        <f>G7-D7</f>
        <v>-6885.7</v>
      </c>
      <c r="K7" s="15">
        <f aca="true" t="shared" si="0" ref="K7:M9">E7/B7*100</f>
        <v>30.57292395139259</v>
      </c>
      <c r="L7" s="15">
        <f t="shared" si="0"/>
        <v>30.682469914817222</v>
      </c>
      <c r="M7" s="15">
        <f t="shared" si="0"/>
        <v>27.560123719149114</v>
      </c>
      <c r="N7" s="36">
        <f>E7/B7*100</f>
        <v>30.57292395139259</v>
      </c>
      <c r="O7" s="20">
        <f>F7/C7*100</f>
        <v>30.682469914817222</v>
      </c>
      <c r="P7" s="29">
        <f>G7/D7*100</f>
        <v>27.560123719149114</v>
      </c>
      <c r="Q7" s="43"/>
      <c r="R7" s="43"/>
      <c r="S7" s="43"/>
    </row>
    <row r="8" spans="1:17" ht="12.75">
      <c r="A8" s="7" t="s">
        <v>23</v>
      </c>
      <c r="B8" s="36">
        <v>5275.7</v>
      </c>
      <c r="C8" s="20">
        <v>3709.7</v>
      </c>
      <c r="D8" s="29">
        <v>3351.8</v>
      </c>
      <c r="E8" s="36">
        <v>1786.6</v>
      </c>
      <c r="F8" s="20">
        <v>1242.7</v>
      </c>
      <c r="G8" s="29">
        <v>1135</v>
      </c>
      <c r="H8" s="36">
        <f aca="true" t="shared" si="1" ref="H8:J29">E8-B8</f>
        <v>-3489.1</v>
      </c>
      <c r="I8" s="20">
        <f t="shared" si="1"/>
        <v>-2467</v>
      </c>
      <c r="J8" s="29">
        <f t="shared" si="1"/>
        <v>-2216.8</v>
      </c>
      <c r="K8" s="15">
        <f t="shared" si="0"/>
        <v>33.864700418901755</v>
      </c>
      <c r="L8" s="15">
        <f t="shared" si="0"/>
        <v>33.498665660295984</v>
      </c>
      <c r="M8" s="15">
        <f t="shared" si="0"/>
        <v>33.86240229130616</v>
      </c>
      <c r="N8" s="36">
        <f aca="true" t="shared" si="2" ref="N8:P27">E8/B8*100</f>
        <v>33.864700418901755</v>
      </c>
      <c r="O8" s="20">
        <f t="shared" si="2"/>
        <v>33.498665660295984</v>
      </c>
      <c r="P8" s="29">
        <f t="shared" si="2"/>
        <v>33.86240229130616</v>
      </c>
      <c r="Q8" s="43"/>
    </row>
    <row r="9" spans="1:17" ht="15.75" customHeight="1">
      <c r="A9" s="7" t="s">
        <v>1</v>
      </c>
      <c r="B9" s="36">
        <v>21178.8</v>
      </c>
      <c r="C9" s="20">
        <v>2150</v>
      </c>
      <c r="D9" s="29">
        <v>169.5</v>
      </c>
      <c r="E9" s="36">
        <v>8284.3</v>
      </c>
      <c r="F9" s="20">
        <v>859.7</v>
      </c>
      <c r="G9" s="29">
        <v>60.8</v>
      </c>
      <c r="H9" s="36">
        <f t="shared" si="1"/>
        <v>-12894.5</v>
      </c>
      <c r="I9" s="20">
        <f t="shared" si="1"/>
        <v>-1290.3</v>
      </c>
      <c r="J9" s="29">
        <f t="shared" si="1"/>
        <v>-108.7</v>
      </c>
      <c r="K9" s="15">
        <f t="shared" si="0"/>
        <v>39.11600279524808</v>
      </c>
      <c r="L9" s="15">
        <f t="shared" si="0"/>
        <v>39.98604651162791</v>
      </c>
      <c r="M9" s="15">
        <f t="shared" si="0"/>
        <v>35.87020648967552</v>
      </c>
      <c r="N9" s="36">
        <f t="shared" si="2"/>
        <v>39.11600279524808</v>
      </c>
      <c r="O9" s="20">
        <f t="shared" si="2"/>
        <v>39.98604651162791</v>
      </c>
      <c r="P9" s="29">
        <f t="shared" si="2"/>
        <v>35.87020648967552</v>
      </c>
      <c r="Q9" s="43"/>
    </row>
    <row r="10" spans="1:17" ht="15" customHeight="1">
      <c r="A10" s="7" t="s">
        <v>2</v>
      </c>
      <c r="B10" s="36">
        <v>0</v>
      </c>
      <c r="C10" s="20">
        <v>190</v>
      </c>
      <c r="D10" s="29">
        <v>5</v>
      </c>
      <c r="E10" s="36">
        <v>0</v>
      </c>
      <c r="F10" s="20">
        <v>813.8</v>
      </c>
      <c r="G10" s="29">
        <v>11</v>
      </c>
      <c r="H10" s="36">
        <f t="shared" si="1"/>
        <v>0</v>
      </c>
      <c r="I10" s="20">
        <f t="shared" si="1"/>
        <v>623.8</v>
      </c>
      <c r="J10" s="29">
        <f t="shared" si="1"/>
        <v>6</v>
      </c>
      <c r="K10" s="15">
        <v>0</v>
      </c>
      <c r="L10" s="15">
        <f>F10/C10*100</f>
        <v>428.3157894736842</v>
      </c>
      <c r="M10" s="15">
        <f>G10/D10*100</f>
        <v>220.00000000000003</v>
      </c>
      <c r="N10" s="36">
        <v>0</v>
      </c>
      <c r="O10" s="20">
        <f t="shared" si="2"/>
        <v>428.3157894736842</v>
      </c>
      <c r="P10" s="29">
        <f t="shared" si="2"/>
        <v>220.00000000000003</v>
      </c>
      <c r="Q10" s="43"/>
    </row>
    <row r="11" spans="1:17" ht="24" customHeight="1">
      <c r="A11" s="7" t="s">
        <v>22</v>
      </c>
      <c r="B11" s="36">
        <v>595</v>
      </c>
      <c r="C11" s="20">
        <v>0</v>
      </c>
      <c r="D11" s="29">
        <v>0</v>
      </c>
      <c r="E11" s="36">
        <v>373.9</v>
      </c>
      <c r="F11" s="20">
        <v>0</v>
      </c>
      <c r="G11" s="29">
        <v>0</v>
      </c>
      <c r="H11" s="36">
        <f t="shared" si="1"/>
        <v>-221.10000000000002</v>
      </c>
      <c r="I11" s="20">
        <f t="shared" si="1"/>
        <v>0</v>
      </c>
      <c r="J11" s="29">
        <f t="shared" si="1"/>
        <v>0</v>
      </c>
      <c r="K11" s="15">
        <f>E11/B11*100</f>
        <v>62.84033613445378</v>
      </c>
      <c r="L11" s="15">
        <v>0</v>
      </c>
      <c r="M11" s="15">
        <v>0</v>
      </c>
      <c r="N11" s="36">
        <f t="shared" si="2"/>
        <v>62.84033613445378</v>
      </c>
      <c r="O11" s="20">
        <v>0</v>
      </c>
      <c r="P11" s="29">
        <v>0</v>
      </c>
      <c r="Q11" s="43"/>
    </row>
    <row r="12" spans="1:17" ht="14.25" customHeight="1">
      <c r="A12" s="57" t="s">
        <v>16</v>
      </c>
      <c r="B12" s="36">
        <v>0</v>
      </c>
      <c r="C12" s="20">
        <v>23223.4</v>
      </c>
      <c r="D12" s="29">
        <v>3199.9</v>
      </c>
      <c r="E12" s="36">
        <v>0</v>
      </c>
      <c r="F12" s="20">
        <v>2477.1</v>
      </c>
      <c r="G12" s="29">
        <v>285.8</v>
      </c>
      <c r="H12" s="36">
        <f t="shared" si="1"/>
        <v>0</v>
      </c>
      <c r="I12" s="20">
        <f t="shared" si="1"/>
        <v>-20746.300000000003</v>
      </c>
      <c r="J12" s="29">
        <f t="shared" si="1"/>
        <v>-2914.1</v>
      </c>
      <c r="K12" s="15">
        <v>0</v>
      </c>
      <c r="L12" s="15">
        <f aca="true" t="shared" si="3" ref="L12:M15">F12/C12*100</f>
        <v>10.666396823893141</v>
      </c>
      <c r="M12" s="15">
        <f t="shared" si="3"/>
        <v>8.931529110284696</v>
      </c>
      <c r="N12" s="36">
        <v>0</v>
      </c>
      <c r="O12" s="20">
        <f t="shared" si="2"/>
        <v>10.666396823893141</v>
      </c>
      <c r="P12" s="29">
        <f t="shared" si="2"/>
        <v>8.931529110284696</v>
      </c>
      <c r="Q12" s="43"/>
    </row>
    <row r="13" spans="1:17" ht="15" customHeight="1">
      <c r="A13" s="7" t="s">
        <v>18</v>
      </c>
      <c r="B13" s="36">
        <v>7336.8</v>
      </c>
      <c r="C13" s="20">
        <v>7800</v>
      </c>
      <c r="D13" s="29">
        <v>139.9</v>
      </c>
      <c r="E13" s="36">
        <v>3295.3</v>
      </c>
      <c r="F13" s="26">
        <v>3247</v>
      </c>
      <c r="G13" s="35">
        <v>48.4</v>
      </c>
      <c r="H13" s="36">
        <f t="shared" si="1"/>
        <v>-4041.5</v>
      </c>
      <c r="I13" s="20">
        <f t="shared" si="1"/>
        <v>-4553</v>
      </c>
      <c r="J13" s="29">
        <f t="shared" si="1"/>
        <v>-91.5</v>
      </c>
      <c r="K13" s="15">
        <f>E13/B13*100</f>
        <v>44.91467669828808</v>
      </c>
      <c r="L13" s="15">
        <f t="shared" si="3"/>
        <v>41.628205128205124</v>
      </c>
      <c r="M13" s="15">
        <f t="shared" si="3"/>
        <v>34.59614010007147</v>
      </c>
      <c r="N13" s="36">
        <f t="shared" si="2"/>
        <v>44.91467669828808</v>
      </c>
      <c r="O13" s="20">
        <f t="shared" si="2"/>
        <v>41.628205128205124</v>
      </c>
      <c r="P13" s="29">
        <f t="shared" si="2"/>
        <v>34.59614010007147</v>
      </c>
      <c r="Q13" s="43"/>
    </row>
    <row r="14" spans="1:17" ht="15" customHeight="1">
      <c r="A14" s="57" t="s">
        <v>19</v>
      </c>
      <c r="B14" s="36">
        <v>24387</v>
      </c>
      <c r="C14" s="20">
        <v>18500</v>
      </c>
      <c r="D14" s="29">
        <v>2650.7</v>
      </c>
      <c r="E14" s="36">
        <v>2898.4</v>
      </c>
      <c r="F14" s="20">
        <v>2333.6</v>
      </c>
      <c r="G14" s="35">
        <v>564.7</v>
      </c>
      <c r="H14" s="36">
        <f t="shared" si="1"/>
        <v>-21488.6</v>
      </c>
      <c r="I14" s="20">
        <f t="shared" si="1"/>
        <v>-16166.4</v>
      </c>
      <c r="J14" s="29">
        <f t="shared" si="1"/>
        <v>-2086</v>
      </c>
      <c r="K14" s="15">
        <f>E14/B14*100</f>
        <v>11.885020707754132</v>
      </c>
      <c r="L14" s="15">
        <f t="shared" si="3"/>
        <v>12.614054054054053</v>
      </c>
      <c r="M14" s="15">
        <f t="shared" si="3"/>
        <v>21.30380654166824</v>
      </c>
      <c r="N14" s="36">
        <f t="shared" si="2"/>
        <v>11.885020707754132</v>
      </c>
      <c r="O14" s="20">
        <f t="shared" si="2"/>
        <v>12.614054054054053</v>
      </c>
      <c r="P14" s="29">
        <f t="shared" si="2"/>
        <v>21.30380654166824</v>
      </c>
      <c r="Q14" s="43"/>
    </row>
    <row r="15" spans="1:17" ht="15.75" customHeight="1">
      <c r="A15" s="7" t="s">
        <v>8</v>
      </c>
      <c r="B15" s="36">
        <v>0</v>
      </c>
      <c r="C15" s="20">
        <v>54210</v>
      </c>
      <c r="D15" s="29">
        <v>14166.8</v>
      </c>
      <c r="E15" s="36">
        <v>0</v>
      </c>
      <c r="F15" s="20">
        <v>22954.5</v>
      </c>
      <c r="G15" s="29">
        <v>3519.5</v>
      </c>
      <c r="H15" s="36">
        <f t="shared" si="1"/>
        <v>0</v>
      </c>
      <c r="I15" s="20">
        <f t="shared" si="1"/>
        <v>-31255.5</v>
      </c>
      <c r="J15" s="29">
        <f t="shared" si="1"/>
        <v>-10647.3</v>
      </c>
      <c r="K15" s="15">
        <v>0</v>
      </c>
      <c r="L15" s="15">
        <f t="shared" si="3"/>
        <v>42.34366353071389</v>
      </c>
      <c r="M15" s="15">
        <f t="shared" si="3"/>
        <v>24.84329559251207</v>
      </c>
      <c r="N15" s="36">
        <v>0</v>
      </c>
      <c r="O15" s="20">
        <f t="shared" si="2"/>
        <v>42.34366353071389</v>
      </c>
      <c r="P15" s="29">
        <f t="shared" si="2"/>
        <v>24.84329559251207</v>
      </c>
      <c r="Q15" s="43"/>
    </row>
    <row r="16" spans="1:17" ht="15" customHeight="1">
      <c r="A16" s="7" t="s">
        <v>3</v>
      </c>
      <c r="B16" s="36">
        <v>8451.2</v>
      </c>
      <c r="C16" s="20">
        <v>0</v>
      </c>
      <c r="D16" s="29">
        <v>63.5</v>
      </c>
      <c r="E16" s="36">
        <v>2536.2</v>
      </c>
      <c r="F16" s="20">
        <v>0</v>
      </c>
      <c r="G16" s="29">
        <v>16.6</v>
      </c>
      <c r="H16" s="36">
        <f t="shared" si="1"/>
        <v>-5915.000000000001</v>
      </c>
      <c r="I16" s="20">
        <f t="shared" si="1"/>
        <v>0</v>
      </c>
      <c r="J16" s="29">
        <f t="shared" si="1"/>
        <v>-46.9</v>
      </c>
      <c r="K16" s="15">
        <f>E16/B16*100</f>
        <v>30.009939416887537</v>
      </c>
      <c r="L16" s="15">
        <v>0</v>
      </c>
      <c r="M16" s="15">
        <f>G16/D16*100</f>
        <v>26.14173228346457</v>
      </c>
      <c r="N16" s="36">
        <f t="shared" si="2"/>
        <v>30.009939416887537</v>
      </c>
      <c r="O16" s="20">
        <v>0</v>
      </c>
      <c r="P16" s="29">
        <f t="shared" si="2"/>
        <v>26.14173228346457</v>
      </c>
      <c r="Q16" s="43"/>
    </row>
    <row r="17" spans="1:17" ht="15" customHeight="1">
      <c r="A17" s="59" t="s">
        <v>33</v>
      </c>
      <c r="B17" s="36">
        <v>0</v>
      </c>
      <c r="C17" s="20">
        <v>0</v>
      </c>
      <c r="D17" s="29">
        <v>0</v>
      </c>
      <c r="E17" s="36">
        <v>0</v>
      </c>
      <c r="F17" s="20">
        <v>0</v>
      </c>
      <c r="G17" s="29">
        <v>0</v>
      </c>
      <c r="H17" s="36">
        <f t="shared" si="1"/>
        <v>0</v>
      </c>
      <c r="I17" s="20">
        <f t="shared" si="1"/>
        <v>0</v>
      </c>
      <c r="J17" s="29">
        <f t="shared" si="1"/>
        <v>0</v>
      </c>
      <c r="K17" s="15">
        <v>0</v>
      </c>
      <c r="L17" s="15">
        <v>0</v>
      </c>
      <c r="M17" s="15">
        <v>0</v>
      </c>
      <c r="N17" s="36">
        <v>0</v>
      </c>
      <c r="O17" s="20">
        <v>0</v>
      </c>
      <c r="P17" s="29">
        <v>0</v>
      </c>
      <c r="Q17" s="43"/>
    </row>
    <row r="18" spans="1:17" ht="16.5" customHeight="1">
      <c r="A18" s="59" t="s">
        <v>13</v>
      </c>
      <c r="B18" s="36">
        <f>47368</f>
        <v>47368</v>
      </c>
      <c r="C18" s="20">
        <f>14600+454</f>
        <v>15054</v>
      </c>
      <c r="D18" s="29">
        <v>0</v>
      </c>
      <c r="E18" s="36">
        <v>11701</v>
      </c>
      <c r="F18" s="20">
        <f>5379.5+309.2</f>
        <v>5688.7</v>
      </c>
      <c r="G18" s="29">
        <v>0</v>
      </c>
      <c r="H18" s="36">
        <f t="shared" si="1"/>
        <v>-35667</v>
      </c>
      <c r="I18" s="20">
        <f t="shared" si="1"/>
        <v>-9365.3</v>
      </c>
      <c r="J18" s="29">
        <f t="shared" si="1"/>
        <v>0</v>
      </c>
      <c r="K18" s="15">
        <f aca="true" t="shared" si="4" ref="K18:L27">E18/B18*100</f>
        <v>24.70233068738389</v>
      </c>
      <c r="L18" s="15">
        <f t="shared" si="4"/>
        <v>37.78862760728045</v>
      </c>
      <c r="M18" s="15">
        <v>0</v>
      </c>
      <c r="N18" s="36">
        <f t="shared" si="2"/>
        <v>24.70233068738389</v>
      </c>
      <c r="O18" s="20">
        <f t="shared" si="2"/>
        <v>37.78862760728045</v>
      </c>
      <c r="P18" s="29">
        <v>0</v>
      </c>
      <c r="Q18" s="43"/>
    </row>
    <row r="19" spans="1:17" ht="15" customHeight="1">
      <c r="A19" s="57" t="s">
        <v>4</v>
      </c>
      <c r="B19" s="36">
        <v>4500</v>
      </c>
      <c r="C19" s="20">
        <v>2782</v>
      </c>
      <c r="D19" s="29">
        <v>531.8</v>
      </c>
      <c r="E19" s="36">
        <v>1602.8</v>
      </c>
      <c r="F19" s="20">
        <v>929.7</v>
      </c>
      <c r="G19" s="29">
        <v>135</v>
      </c>
      <c r="H19" s="36">
        <f t="shared" si="1"/>
        <v>-2897.2</v>
      </c>
      <c r="I19" s="20">
        <f t="shared" si="1"/>
        <v>-1852.3</v>
      </c>
      <c r="J19" s="29">
        <f t="shared" si="1"/>
        <v>-396.79999999999995</v>
      </c>
      <c r="K19" s="15">
        <f t="shared" si="4"/>
        <v>35.617777777777775</v>
      </c>
      <c r="L19" s="15">
        <f t="shared" si="4"/>
        <v>33.41840402588066</v>
      </c>
      <c r="M19" s="15">
        <f>G19/D19*100</f>
        <v>25.385483264385112</v>
      </c>
      <c r="N19" s="36">
        <f t="shared" si="2"/>
        <v>35.617777777777775</v>
      </c>
      <c r="O19" s="20">
        <f t="shared" si="2"/>
        <v>33.41840402588066</v>
      </c>
      <c r="P19" s="29">
        <f t="shared" si="2"/>
        <v>25.385483264385112</v>
      </c>
      <c r="Q19" s="43"/>
    </row>
    <row r="20" spans="1:17" ht="27" customHeight="1">
      <c r="A20" s="59" t="s">
        <v>24</v>
      </c>
      <c r="B20" s="36">
        <f>667+101.6</f>
        <v>768.6</v>
      </c>
      <c r="C20" s="20">
        <f>235.8+2944.5</f>
        <v>3180.3</v>
      </c>
      <c r="D20" s="29">
        <v>0</v>
      </c>
      <c r="E20" s="36">
        <f>188+31.3</f>
        <v>219.3</v>
      </c>
      <c r="F20" s="20">
        <f>58.9+795.1</f>
        <v>854</v>
      </c>
      <c r="G20" s="29">
        <v>0</v>
      </c>
      <c r="H20" s="36">
        <f t="shared" si="1"/>
        <v>-549.3</v>
      </c>
      <c r="I20" s="20">
        <f t="shared" si="1"/>
        <v>-2326.3</v>
      </c>
      <c r="J20" s="29">
        <f t="shared" si="1"/>
        <v>0</v>
      </c>
      <c r="K20" s="15">
        <f t="shared" si="4"/>
        <v>28.532396565183447</v>
      </c>
      <c r="L20" s="15">
        <f t="shared" si="4"/>
        <v>26.85281262773952</v>
      </c>
      <c r="M20" s="15">
        <v>0</v>
      </c>
      <c r="N20" s="36">
        <f t="shared" si="2"/>
        <v>28.532396565183447</v>
      </c>
      <c r="O20" s="20">
        <f t="shared" si="2"/>
        <v>26.85281262773952</v>
      </c>
      <c r="P20" s="29">
        <v>0</v>
      </c>
      <c r="Q20" s="43"/>
    </row>
    <row r="21" spans="1:17" ht="16.5" customHeight="1">
      <c r="A21" s="57" t="s">
        <v>5</v>
      </c>
      <c r="B21" s="36">
        <v>6866</v>
      </c>
      <c r="C21" s="20">
        <v>0</v>
      </c>
      <c r="D21" s="29">
        <v>0</v>
      </c>
      <c r="E21" s="36">
        <v>2190.7</v>
      </c>
      <c r="F21" s="20">
        <v>0</v>
      </c>
      <c r="G21" s="29">
        <v>0</v>
      </c>
      <c r="H21" s="36">
        <f t="shared" si="1"/>
        <v>-4675.3</v>
      </c>
      <c r="I21" s="20">
        <f t="shared" si="1"/>
        <v>0</v>
      </c>
      <c r="J21" s="29">
        <f t="shared" si="1"/>
        <v>0</v>
      </c>
      <c r="K21" s="15">
        <f t="shared" si="4"/>
        <v>31.906495776288956</v>
      </c>
      <c r="L21" s="15">
        <v>0</v>
      </c>
      <c r="M21" s="15">
        <v>0</v>
      </c>
      <c r="N21" s="36">
        <f t="shared" si="2"/>
        <v>31.906495776288956</v>
      </c>
      <c r="O21" s="20">
        <v>0</v>
      </c>
      <c r="P21" s="29">
        <v>0</v>
      </c>
      <c r="Q21" s="43"/>
    </row>
    <row r="22" spans="1:17" ht="15.75" customHeight="1">
      <c r="A22" s="57" t="s">
        <v>20</v>
      </c>
      <c r="B22" s="36">
        <v>2998</v>
      </c>
      <c r="C22" s="20">
        <v>100</v>
      </c>
      <c r="D22" s="29">
        <v>0</v>
      </c>
      <c r="E22" s="36">
        <v>1.8</v>
      </c>
      <c r="F22" s="20">
        <v>221.6</v>
      </c>
      <c r="G22" s="29">
        <v>7.3</v>
      </c>
      <c r="H22" s="36">
        <f t="shared" si="1"/>
        <v>-2996.2</v>
      </c>
      <c r="I22" s="20">
        <f t="shared" si="1"/>
        <v>121.6</v>
      </c>
      <c r="J22" s="29">
        <f t="shared" si="1"/>
        <v>7.3</v>
      </c>
      <c r="K22" s="15">
        <f t="shared" si="4"/>
        <v>0.0600400266844563</v>
      </c>
      <c r="L22" s="15">
        <f>F22/C22*100</f>
        <v>221.59999999999997</v>
      </c>
      <c r="M22" s="15">
        <v>0</v>
      </c>
      <c r="N22" s="36">
        <f t="shared" si="2"/>
        <v>0.0600400266844563</v>
      </c>
      <c r="O22" s="20">
        <f t="shared" si="2"/>
        <v>221.59999999999997</v>
      </c>
      <c r="P22" s="29">
        <v>0</v>
      </c>
      <c r="Q22" s="43"/>
    </row>
    <row r="23" spans="1:17" ht="15" customHeight="1">
      <c r="A23" s="57" t="s">
        <v>6</v>
      </c>
      <c r="B23" s="36">
        <v>11.9</v>
      </c>
      <c r="C23" s="20">
        <v>0</v>
      </c>
      <c r="D23" s="29">
        <v>0</v>
      </c>
      <c r="E23" s="36">
        <v>96.9</v>
      </c>
      <c r="F23" s="20">
        <v>0</v>
      </c>
      <c r="G23" s="29">
        <v>0</v>
      </c>
      <c r="H23" s="36">
        <f t="shared" si="1"/>
        <v>85</v>
      </c>
      <c r="I23" s="20">
        <f t="shared" si="1"/>
        <v>0</v>
      </c>
      <c r="J23" s="29">
        <f t="shared" si="1"/>
        <v>0</v>
      </c>
      <c r="K23" s="15">
        <f t="shared" si="4"/>
        <v>814.2857142857142</v>
      </c>
      <c r="L23" s="15" t="e">
        <f>F23/C23*100</f>
        <v>#DIV/0!</v>
      </c>
      <c r="M23" s="15">
        <v>0</v>
      </c>
      <c r="N23" s="36">
        <f t="shared" si="2"/>
        <v>814.2857142857142</v>
      </c>
      <c r="O23" s="20">
        <v>0</v>
      </c>
      <c r="P23" s="29">
        <v>0</v>
      </c>
      <c r="Q23" s="43"/>
    </row>
    <row r="24" spans="1:17" ht="15.75" customHeight="1">
      <c r="A24" s="57" t="s">
        <v>29</v>
      </c>
      <c r="B24" s="36">
        <v>0</v>
      </c>
      <c r="C24" s="20">
        <v>7298.7</v>
      </c>
      <c r="D24" s="29">
        <v>2197.4</v>
      </c>
      <c r="E24" s="36">
        <v>0</v>
      </c>
      <c r="F24" s="20">
        <v>712</v>
      </c>
      <c r="G24" s="29">
        <v>25.5</v>
      </c>
      <c r="H24" s="36">
        <f t="shared" si="1"/>
        <v>0</v>
      </c>
      <c r="I24" s="20">
        <f t="shared" si="1"/>
        <v>-6586.7</v>
      </c>
      <c r="J24" s="29">
        <f t="shared" si="1"/>
        <v>-2171.9</v>
      </c>
      <c r="K24" s="15" t="e">
        <f t="shared" si="4"/>
        <v>#DIV/0!</v>
      </c>
      <c r="L24" s="15">
        <f>F24/C24*100</f>
        <v>9.755161878142683</v>
      </c>
      <c r="M24" s="15">
        <f>G24/D24*100</f>
        <v>1.1604623646127241</v>
      </c>
      <c r="N24" s="36">
        <v>0</v>
      </c>
      <c r="O24" s="20">
        <f t="shared" si="2"/>
        <v>9.755161878142683</v>
      </c>
      <c r="P24" s="29">
        <f t="shared" si="2"/>
        <v>1.1604623646127241</v>
      </c>
      <c r="Q24" s="43"/>
    </row>
    <row r="25" spans="1:17" ht="27" customHeight="1">
      <c r="A25" s="57" t="s">
        <v>17</v>
      </c>
      <c r="B25" s="36">
        <f>4500+330</f>
        <v>4830</v>
      </c>
      <c r="C25" s="20">
        <f>7618.8+385</f>
        <v>8003.8</v>
      </c>
      <c r="D25" s="29">
        <v>23.2</v>
      </c>
      <c r="E25" s="36">
        <f>3435.5+81</f>
        <v>3516.5</v>
      </c>
      <c r="F25" s="20">
        <f>3821.5+34.3</f>
        <v>3855.8</v>
      </c>
      <c r="G25" s="29">
        <v>3.2</v>
      </c>
      <c r="H25" s="36">
        <f t="shared" si="1"/>
        <v>-1313.5</v>
      </c>
      <c r="I25" s="20">
        <f t="shared" si="1"/>
        <v>-4148</v>
      </c>
      <c r="J25" s="29">
        <f t="shared" si="1"/>
        <v>-20</v>
      </c>
      <c r="K25" s="15">
        <f t="shared" si="4"/>
        <v>72.80538302277432</v>
      </c>
      <c r="L25" s="15">
        <f>F25/C25*100</f>
        <v>48.17461705689797</v>
      </c>
      <c r="M25" s="15">
        <v>0</v>
      </c>
      <c r="N25" s="36">
        <f t="shared" si="2"/>
        <v>72.80538302277432</v>
      </c>
      <c r="O25" s="20">
        <f t="shared" si="2"/>
        <v>48.17461705689797</v>
      </c>
      <c r="P25" s="29">
        <f t="shared" si="2"/>
        <v>13.793103448275861</v>
      </c>
      <c r="Q25" s="43"/>
    </row>
    <row r="26" spans="1:17" ht="16.5" customHeight="1">
      <c r="A26" s="7" t="s">
        <v>7</v>
      </c>
      <c r="B26" s="36">
        <v>9756.8</v>
      </c>
      <c r="C26" s="20">
        <v>297.2</v>
      </c>
      <c r="D26" s="29">
        <v>1</v>
      </c>
      <c r="E26" s="48">
        <v>5129.2</v>
      </c>
      <c r="F26" s="26">
        <v>512.7</v>
      </c>
      <c r="G26" s="35">
        <v>15.1</v>
      </c>
      <c r="H26" s="36">
        <f t="shared" si="1"/>
        <v>-4627.599999999999</v>
      </c>
      <c r="I26" s="20">
        <f t="shared" si="1"/>
        <v>215.50000000000006</v>
      </c>
      <c r="J26" s="29">
        <f t="shared" si="1"/>
        <v>14.1</v>
      </c>
      <c r="K26" s="15">
        <f t="shared" si="4"/>
        <v>52.57051492292555</v>
      </c>
      <c r="L26" s="15">
        <f>F26/C26*100</f>
        <v>172.51009421265144</v>
      </c>
      <c r="M26" s="15">
        <f>G26/D26*100</f>
        <v>1510</v>
      </c>
      <c r="N26" s="36">
        <f t="shared" si="2"/>
        <v>52.57051492292555</v>
      </c>
      <c r="O26" s="20">
        <f t="shared" si="2"/>
        <v>172.51009421265144</v>
      </c>
      <c r="P26" s="29">
        <f t="shared" si="2"/>
        <v>1510</v>
      </c>
      <c r="Q26" s="43"/>
    </row>
    <row r="27" spans="1:17" ht="14.25" customHeight="1">
      <c r="A27" s="7" t="s">
        <v>9</v>
      </c>
      <c r="B27" s="36">
        <v>135.5</v>
      </c>
      <c r="C27" s="20">
        <v>0</v>
      </c>
      <c r="D27" s="29">
        <v>49.6</v>
      </c>
      <c r="E27" s="36">
        <v>65.9</v>
      </c>
      <c r="F27" s="20">
        <v>53.5</v>
      </c>
      <c r="G27" s="29">
        <f>8.3+137.1</f>
        <v>145.4</v>
      </c>
      <c r="H27" s="36">
        <f t="shared" si="1"/>
        <v>-69.6</v>
      </c>
      <c r="I27" s="20">
        <f t="shared" si="1"/>
        <v>53.5</v>
      </c>
      <c r="J27" s="29">
        <f t="shared" si="1"/>
        <v>95.80000000000001</v>
      </c>
      <c r="K27" s="15">
        <f t="shared" si="4"/>
        <v>48.63468634686347</v>
      </c>
      <c r="L27" s="15">
        <v>0</v>
      </c>
      <c r="M27" s="15">
        <v>0</v>
      </c>
      <c r="N27" s="36">
        <f t="shared" si="2"/>
        <v>48.63468634686347</v>
      </c>
      <c r="O27" s="20">
        <v>0</v>
      </c>
      <c r="P27" s="29">
        <f t="shared" si="2"/>
        <v>293.1451612903226</v>
      </c>
      <c r="Q27" s="43"/>
    </row>
    <row r="28" spans="1:17" ht="16.5" customHeight="1" thickBot="1">
      <c r="A28" s="8" t="s">
        <v>10</v>
      </c>
      <c r="B28" s="37">
        <v>0</v>
      </c>
      <c r="C28" s="21">
        <v>0</v>
      </c>
      <c r="D28" s="30">
        <v>0</v>
      </c>
      <c r="E28" s="37">
        <v>-15.2</v>
      </c>
      <c r="F28" s="25">
        <v>0</v>
      </c>
      <c r="G28" s="34">
        <v>0.4</v>
      </c>
      <c r="H28" s="37">
        <f t="shared" si="1"/>
        <v>-15.2</v>
      </c>
      <c r="I28" s="21">
        <f t="shared" si="1"/>
        <v>0</v>
      </c>
      <c r="J28" s="30">
        <f t="shared" si="1"/>
        <v>0.4</v>
      </c>
      <c r="K28" s="16">
        <v>0</v>
      </c>
      <c r="L28" s="16">
        <v>0</v>
      </c>
      <c r="M28" s="16">
        <v>0</v>
      </c>
      <c r="N28" s="36">
        <v>0</v>
      </c>
      <c r="O28" s="20">
        <v>0</v>
      </c>
      <c r="P28" s="29">
        <v>0</v>
      </c>
      <c r="Q28" s="43"/>
    </row>
    <row r="29" spans="1:17" ht="15" customHeight="1" thickBot="1">
      <c r="A29" s="9" t="s">
        <v>14</v>
      </c>
      <c r="B29" s="38">
        <f>B7+B8+B9+B10+B11+B13+B12+B14+B15+B16+B17+B18+B19+B20+B21+B22+B23+B24+B25+B26+B27+B28</f>
        <v>386117.9</v>
      </c>
      <c r="C29" s="22">
        <f>SUM(C7:C28)</f>
        <v>226879.2</v>
      </c>
      <c r="D29" s="31">
        <f>SUM(D7:D28)</f>
        <v>36055.5</v>
      </c>
      <c r="E29" s="38">
        <f>SUM(E7:E28)</f>
        <v>117565.7</v>
      </c>
      <c r="F29" s="27">
        <f>SUM(F7:F28)</f>
        <v>71419</v>
      </c>
      <c r="G29" s="31">
        <f>SUM(G7:G28)</f>
        <v>8593.4</v>
      </c>
      <c r="H29" s="51">
        <f t="shared" si="1"/>
        <v>-268552.2</v>
      </c>
      <c r="I29" s="52">
        <f t="shared" si="1"/>
        <v>-155460.2</v>
      </c>
      <c r="J29" s="53">
        <f t="shared" si="1"/>
        <v>-27462.1</v>
      </c>
      <c r="K29" s="44">
        <f aca="true" t="shared" si="5" ref="K29:M32">E29/B29*100</f>
        <v>30.448135142141812</v>
      </c>
      <c r="L29" s="44">
        <f t="shared" si="5"/>
        <v>31.47886628655249</v>
      </c>
      <c r="M29" s="18">
        <f t="shared" si="5"/>
        <v>23.83381176242182</v>
      </c>
      <c r="N29" s="49">
        <f aca="true" t="shared" si="6" ref="N29:P35">E29/B29*100</f>
        <v>30.448135142141812</v>
      </c>
      <c r="O29" s="52">
        <f t="shared" si="6"/>
        <v>31.47886628655249</v>
      </c>
      <c r="P29" s="55">
        <f t="shared" si="6"/>
        <v>23.83381176242182</v>
      </c>
      <c r="Q29" s="43"/>
    </row>
    <row r="30" spans="1:17" ht="26.25" customHeight="1">
      <c r="A30" s="10" t="s">
        <v>21</v>
      </c>
      <c r="B30" s="39">
        <v>153075.8</v>
      </c>
      <c r="C30" s="23">
        <v>14436.5</v>
      </c>
      <c r="D30" s="32">
        <v>24746.5</v>
      </c>
      <c r="E30" s="39">
        <v>30615.2</v>
      </c>
      <c r="F30" s="23">
        <v>4812.4</v>
      </c>
      <c r="G30" s="32">
        <v>6427.3</v>
      </c>
      <c r="H30" s="39">
        <f aca="true" t="shared" si="7" ref="H30:J35">E30-B30</f>
        <v>-122460.59999999999</v>
      </c>
      <c r="I30" s="23">
        <f t="shared" si="7"/>
        <v>-9624.1</v>
      </c>
      <c r="J30" s="32">
        <f t="shared" si="7"/>
        <v>-18319.2</v>
      </c>
      <c r="K30" s="17">
        <f t="shared" si="5"/>
        <v>20.000026130844983</v>
      </c>
      <c r="L30" s="17">
        <f t="shared" si="5"/>
        <v>33.33494960689918</v>
      </c>
      <c r="M30" s="17">
        <f t="shared" si="5"/>
        <v>25.972561776412828</v>
      </c>
      <c r="N30" s="39">
        <f t="shared" si="6"/>
        <v>20.000026130844983</v>
      </c>
      <c r="O30" s="23">
        <f t="shared" si="6"/>
        <v>33.33494960689918</v>
      </c>
      <c r="P30" s="32">
        <f t="shared" si="6"/>
        <v>25.972561776412828</v>
      </c>
      <c r="Q30" s="43"/>
    </row>
    <row r="31" spans="1:17" ht="27.75" customHeight="1">
      <c r="A31" s="11" t="s">
        <v>32</v>
      </c>
      <c r="B31" s="36">
        <f>196419+605090+88654.5</f>
        <v>890163.5</v>
      </c>
      <c r="C31" s="20">
        <f>17977.1+1818+12660.6</f>
        <v>32455.699999999997</v>
      </c>
      <c r="D31" s="29">
        <f>6635+787.6+16610.5</f>
        <v>24033.1</v>
      </c>
      <c r="E31" s="36">
        <f>13238.6+163258.2+5997.3</f>
        <v>182494.1</v>
      </c>
      <c r="F31" s="20">
        <f>1697+967.7+0</f>
        <v>2664.7</v>
      </c>
      <c r="G31" s="29">
        <f>2268.6+379.3+2770</f>
        <v>5417.9</v>
      </c>
      <c r="H31" s="36">
        <f t="shared" si="7"/>
        <v>-707669.4</v>
      </c>
      <c r="I31" s="23">
        <f t="shared" si="7"/>
        <v>-29790.999999999996</v>
      </c>
      <c r="J31" s="32">
        <f t="shared" si="7"/>
        <v>-18615.199999999997</v>
      </c>
      <c r="K31" s="17">
        <f t="shared" si="5"/>
        <v>20.501188826547036</v>
      </c>
      <c r="L31" s="15">
        <f t="shared" si="5"/>
        <v>8.210268150124632</v>
      </c>
      <c r="M31" s="15">
        <f t="shared" si="5"/>
        <v>22.54349210047809</v>
      </c>
      <c r="N31" s="36">
        <f t="shared" si="6"/>
        <v>20.501188826547036</v>
      </c>
      <c r="O31" s="20">
        <f t="shared" si="6"/>
        <v>8.210268150124632</v>
      </c>
      <c r="P31" s="29">
        <f t="shared" si="6"/>
        <v>22.54349210047809</v>
      </c>
      <c r="Q31" s="43"/>
    </row>
    <row r="32" spans="1:17" ht="18" customHeight="1" thickBot="1">
      <c r="A32" s="12" t="s">
        <v>11</v>
      </c>
      <c r="B32" s="37">
        <v>183.2</v>
      </c>
      <c r="C32" s="21">
        <v>0</v>
      </c>
      <c r="D32" s="30">
        <v>408.6</v>
      </c>
      <c r="E32" s="37">
        <v>183.2</v>
      </c>
      <c r="F32" s="21">
        <v>157</v>
      </c>
      <c r="G32" s="30">
        <v>498.6</v>
      </c>
      <c r="H32" s="37">
        <f t="shared" si="7"/>
        <v>0</v>
      </c>
      <c r="I32" s="25">
        <f t="shared" si="7"/>
        <v>157</v>
      </c>
      <c r="J32" s="34">
        <f t="shared" si="7"/>
        <v>90</v>
      </c>
      <c r="K32" s="19">
        <f t="shared" si="5"/>
        <v>100</v>
      </c>
      <c r="L32" s="16">
        <v>0</v>
      </c>
      <c r="M32" s="16">
        <f t="shared" si="5"/>
        <v>122.02643171806167</v>
      </c>
      <c r="N32" s="36">
        <v>0</v>
      </c>
      <c r="O32" s="21">
        <v>0</v>
      </c>
      <c r="P32" s="29">
        <v>0</v>
      </c>
      <c r="Q32" s="43"/>
    </row>
    <row r="33" spans="1:17" ht="14.25" customHeight="1" thickBot="1">
      <c r="A33" s="13" t="s">
        <v>31</v>
      </c>
      <c r="B33" s="40">
        <f aca="true" t="shared" si="8" ref="B33:G33">SUM(B30:B32)</f>
        <v>1043422.5</v>
      </c>
      <c r="C33" s="24">
        <f t="shared" si="8"/>
        <v>46892.2</v>
      </c>
      <c r="D33" s="33">
        <f t="shared" si="8"/>
        <v>49188.2</v>
      </c>
      <c r="E33" s="40">
        <f t="shared" si="8"/>
        <v>213292.50000000003</v>
      </c>
      <c r="F33" s="24">
        <f t="shared" si="8"/>
        <v>7634.099999999999</v>
      </c>
      <c r="G33" s="33">
        <f t="shared" si="8"/>
        <v>12343.800000000001</v>
      </c>
      <c r="H33" s="51">
        <f t="shared" si="7"/>
        <v>-830130</v>
      </c>
      <c r="I33" s="52">
        <f t="shared" si="7"/>
        <v>-39258.1</v>
      </c>
      <c r="J33" s="53">
        <f t="shared" si="7"/>
        <v>-36844.399999999994</v>
      </c>
      <c r="K33" s="56">
        <f>E33/B33*100</f>
        <v>20.44162359926109</v>
      </c>
      <c r="L33" s="18">
        <f>F33/C33*100</f>
        <v>16.280106286333336</v>
      </c>
      <c r="M33" s="18">
        <f>G33/D33*100</f>
        <v>25.095043120097916</v>
      </c>
      <c r="N33" s="49">
        <f t="shared" si="6"/>
        <v>20.44162359926109</v>
      </c>
      <c r="O33" s="52">
        <f t="shared" si="6"/>
        <v>16.280106286333336</v>
      </c>
      <c r="P33" s="55">
        <f t="shared" si="6"/>
        <v>25.095043120097916</v>
      </c>
      <c r="Q33" s="43"/>
    </row>
    <row r="34" spans="1:17" ht="27" customHeight="1" thickBot="1">
      <c r="A34" s="14" t="s">
        <v>30</v>
      </c>
      <c r="B34" s="41">
        <v>478.9</v>
      </c>
      <c r="C34" s="25">
        <v>6317.5</v>
      </c>
      <c r="D34" s="34">
        <v>81.6</v>
      </c>
      <c r="E34" s="41">
        <f>1214.4-4426.5</f>
        <v>-3212.1</v>
      </c>
      <c r="F34" s="25">
        <f>6333.9-748.2</f>
        <v>5585.7</v>
      </c>
      <c r="G34" s="34">
        <f>94.3-57.4</f>
        <v>36.9</v>
      </c>
      <c r="H34" s="41">
        <f t="shared" si="7"/>
        <v>-3691</v>
      </c>
      <c r="I34" s="25">
        <f t="shared" si="7"/>
        <v>-731.8000000000002</v>
      </c>
      <c r="J34" s="34">
        <f t="shared" si="7"/>
        <v>-44.699999999999996</v>
      </c>
      <c r="K34" s="45">
        <v>0</v>
      </c>
      <c r="L34" s="46">
        <v>0</v>
      </c>
      <c r="M34" s="47">
        <v>0</v>
      </c>
      <c r="N34" s="41">
        <v>0</v>
      </c>
      <c r="O34" s="25">
        <v>0</v>
      </c>
      <c r="P34" s="54">
        <v>0</v>
      </c>
      <c r="Q34" s="43"/>
    </row>
    <row r="35" spans="1:17" ht="15" customHeight="1" thickBot="1">
      <c r="A35" s="6" t="s">
        <v>15</v>
      </c>
      <c r="B35" s="40">
        <f aca="true" t="shared" si="9" ref="B35:G35">B29+B33+B34</f>
        <v>1430019.2999999998</v>
      </c>
      <c r="C35" s="24">
        <f t="shared" si="9"/>
        <v>280088.9</v>
      </c>
      <c r="D35" s="33">
        <f t="shared" si="9"/>
        <v>85325.3</v>
      </c>
      <c r="E35" s="49">
        <f t="shared" si="9"/>
        <v>327646.10000000003</v>
      </c>
      <c r="F35" s="28">
        <f t="shared" si="9"/>
        <v>84638.8</v>
      </c>
      <c r="G35" s="42">
        <f t="shared" si="9"/>
        <v>20974.100000000002</v>
      </c>
      <c r="H35" s="51">
        <f t="shared" si="7"/>
        <v>-1102373.1999999997</v>
      </c>
      <c r="I35" s="52">
        <f t="shared" si="7"/>
        <v>-195450.10000000003</v>
      </c>
      <c r="J35" s="53">
        <f t="shared" si="7"/>
        <v>-64351.2</v>
      </c>
      <c r="K35" s="44">
        <f>E35/B35*100</f>
        <v>22.912005453352975</v>
      </c>
      <c r="L35" s="44">
        <f>F35/C35*100</f>
        <v>30.218548468004265</v>
      </c>
      <c r="M35" s="18">
        <f>G35/D35*100</f>
        <v>24.58133753997935</v>
      </c>
      <c r="N35" s="49">
        <f t="shared" si="6"/>
        <v>22.912005453352975</v>
      </c>
      <c r="O35" s="52">
        <f t="shared" si="6"/>
        <v>30.218548468004265</v>
      </c>
      <c r="P35" s="55">
        <f t="shared" si="6"/>
        <v>24.58133753997935</v>
      </c>
      <c r="Q35" s="43"/>
    </row>
    <row r="36" spans="8:17" ht="12.75">
      <c r="H36" s="43"/>
      <c r="I36" s="43"/>
      <c r="J36" s="43"/>
      <c r="Q36" s="43"/>
    </row>
    <row r="37" spans="1:16" ht="12.75">
      <c r="A37" t="s">
        <v>36</v>
      </c>
      <c r="B37" s="58"/>
      <c r="C37" s="58"/>
      <c r="D37" s="5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2:8" ht="12.75">
      <c r="B38" s="43"/>
      <c r="C38" s="43"/>
      <c r="D38" s="43"/>
      <c r="E38" s="43"/>
      <c r="F38" s="43"/>
      <c r="G38" s="43"/>
      <c r="H38" s="43"/>
    </row>
    <row r="39" ht="12.75">
      <c r="E39" s="50"/>
    </row>
    <row r="41" spans="6:8" ht="12.75">
      <c r="F41" s="43"/>
      <c r="H41" s="43"/>
    </row>
  </sheetData>
  <sheetProtection/>
  <mergeCells count="6">
    <mergeCell ref="A2:P2"/>
    <mergeCell ref="B4:D4"/>
    <mergeCell ref="E4:G4"/>
    <mergeCell ref="H4:J4"/>
    <mergeCell ref="K4:M4"/>
    <mergeCell ref="N4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zoomScalePageLayoutView="0" workbookViewId="0" topLeftCell="A4">
      <selection activeCell="I35" sqref="I35"/>
    </sheetView>
  </sheetViews>
  <sheetFormatPr defaultColWidth="9.00390625" defaultRowHeight="12.75"/>
  <cols>
    <col min="1" max="1" width="32.75390625" style="0" customWidth="1"/>
    <col min="2" max="2" width="11.125" style="0" customWidth="1"/>
    <col min="3" max="4" width="9.875" style="0" customWidth="1"/>
    <col min="5" max="5" width="10.625" style="0" customWidth="1"/>
    <col min="6" max="6" width="10.00390625" style="0" customWidth="1"/>
    <col min="7" max="7" width="10.125" style="0" customWidth="1"/>
    <col min="8" max="8" width="11.375" style="0" customWidth="1"/>
    <col min="9" max="9" width="10.625" style="0" customWidth="1"/>
    <col min="10" max="10" width="10.125" style="0" customWidth="1"/>
    <col min="11" max="12" width="9.25390625" style="0" hidden="1" customWidth="1"/>
    <col min="13" max="13" width="0.6171875" style="0" hidden="1" customWidth="1"/>
    <col min="14" max="14" width="10.75390625" style="0" customWidth="1"/>
    <col min="15" max="15" width="10.25390625" style="0" customWidth="1"/>
    <col min="16" max="16" width="9.75390625" style="0" customWidth="1"/>
    <col min="17" max="17" width="11.625" style="0" customWidth="1"/>
  </cols>
  <sheetData>
    <row r="2" spans="1:16" ht="18.75" customHeight="1">
      <c r="A2" s="62" t="s">
        <v>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4" spans="1:16" ht="15.75">
      <c r="A4" s="2" t="s">
        <v>12</v>
      </c>
      <c r="B4" s="64" t="s">
        <v>38</v>
      </c>
      <c r="C4" s="65"/>
      <c r="D4" s="66"/>
      <c r="E4" s="64" t="s">
        <v>34</v>
      </c>
      <c r="F4" s="65"/>
      <c r="G4" s="66"/>
      <c r="H4" s="64" t="s">
        <v>35</v>
      </c>
      <c r="I4" s="65"/>
      <c r="J4" s="66"/>
      <c r="K4" s="64" t="s">
        <v>27</v>
      </c>
      <c r="L4" s="65"/>
      <c r="M4" s="66"/>
      <c r="N4" s="64" t="s">
        <v>27</v>
      </c>
      <c r="O4" s="65"/>
      <c r="P4" s="66"/>
    </row>
    <row r="5" spans="1:16" ht="29.25" customHeight="1">
      <c r="A5" s="3"/>
      <c r="B5" s="1" t="s">
        <v>25</v>
      </c>
      <c r="C5" s="1" t="s">
        <v>26</v>
      </c>
      <c r="D5" s="5" t="s">
        <v>28</v>
      </c>
      <c r="E5" s="1" t="s">
        <v>25</v>
      </c>
      <c r="F5" s="1" t="s">
        <v>26</v>
      </c>
      <c r="G5" s="1" t="s">
        <v>28</v>
      </c>
      <c r="H5" s="1" t="s">
        <v>25</v>
      </c>
      <c r="I5" s="1" t="s">
        <v>26</v>
      </c>
      <c r="J5" s="1" t="s">
        <v>28</v>
      </c>
      <c r="K5" s="1" t="s">
        <v>25</v>
      </c>
      <c r="L5" s="1" t="s">
        <v>26</v>
      </c>
      <c r="M5" s="1" t="s">
        <v>28</v>
      </c>
      <c r="N5" s="1" t="s">
        <v>25</v>
      </c>
      <c r="O5" s="1" t="s">
        <v>26</v>
      </c>
      <c r="P5" s="1" t="s">
        <v>28</v>
      </c>
    </row>
    <row r="6" spans="1:16" ht="12.75">
      <c r="A6" s="5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11</v>
      </c>
      <c r="O6" s="4">
        <v>12</v>
      </c>
      <c r="P6" s="4">
        <v>13</v>
      </c>
    </row>
    <row r="7" spans="1:19" ht="13.5" customHeight="1">
      <c r="A7" s="7" t="s">
        <v>0</v>
      </c>
      <c r="B7" s="36">
        <v>241658.6</v>
      </c>
      <c r="C7" s="20">
        <v>80380.1</v>
      </c>
      <c r="D7" s="29">
        <v>9505.4</v>
      </c>
      <c r="E7" s="36">
        <v>89218.3</v>
      </c>
      <c r="F7" s="20">
        <v>29643.4</v>
      </c>
      <c r="G7" s="29">
        <v>3214.6</v>
      </c>
      <c r="H7" s="36">
        <f>E7-B7</f>
        <v>-152440.3</v>
      </c>
      <c r="I7" s="20">
        <f>F7-C7</f>
        <v>-50736.700000000004</v>
      </c>
      <c r="J7" s="29">
        <f>G7-D7</f>
        <v>-6290.799999999999</v>
      </c>
      <c r="K7" s="15">
        <f aca="true" t="shared" si="0" ref="K7:M9">E7/B7*100</f>
        <v>36.91914957713071</v>
      </c>
      <c r="L7" s="15">
        <f t="shared" si="0"/>
        <v>36.879028515764475</v>
      </c>
      <c r="M7" s="15">
        <f t="shared" si="0"/>
        <v>33.818671491994024</v>
      </c>
      <c r="N7" s="36">
        <f>E7/B7*100</f>
        <v>36.91914957713071</v>
      </c>
      <c r="O7" s="20">
        <f>F7/C7*100</f>
        <v>36.879028515764475</v>
      </c>
      <c r="P7" s="29">
        <f>G7/D7*100</f>
        <v>33.818671491994024</v>
      </c>
      <c r="Q7" s="43"/>
      <c r="R7" s="43"/>
      <c r="S7" s="43"/>
    </row>
    <row r="8" spans="1:17" ht="12.75">
      <c r="A8" s="7" t="s">
        <v>23</v>
      </c>
      <c r="B8" s="36">
        <v>5275.7</v>
      </c>
      <c r="C8" s="20">
        <v>3709.7</v>
      </c>
      <c r="D8" s="29">
        <v>3351.8</v>
      </c>
      <c r="E8" s="36">
        <v>2269</v>
      </c>
      <c r="F8" s="20">
        <v>1578.2</v>
      </c>
      <c r="G8" s="29">
        <v>1441.5</v>
      </c>
      <c r="H8" s="36">
        <f aca="true" t="shared" si="1" ref="H8:J29">E8-B8</f>
        <v>-3006.7</v>
      </c>
      <c r="I8" s="20">
        <f t="shared" si="1"/>
        <v>-2131.5</v>
      </c>
      <c r="J8" s="29">
        <f t="shared" si="1"/>
        <v>-1910.3000000000002</v>
      </c>
      <c r="K8" s="15">
        <f t="shared" si="0"/>
        <v>43.00851071895673</v>
      </c>
      <c r="L8" s="15">
        <f t="shared" si="0"/>
        <v>42.54252365420385</v>
      </c>
      <c r="M8" s="15">
        <f t="shared" si="0"/>
        <v>43.006742645742584</v>
      </c>
      <c r="N8" s="36">
        <f aca="true" t="shared" si="2" ref="N8:P27">E8/B8*100</f>
        <v>43.00851071895673</v>
      </c>
      <c r="O8" s="20">
        <f t="shared" si="2"/>
        <v>42.54252365420385</v>
      </c>
      <c r="P8" s="29">
        <f t="shared" si="2"/>
        <v>43.006742645742584</v>
      </c>
      <c r="Q8" s="43"/>
    </row>
    <row r="9" spans="1:17" ht="15.75" customHeight="1">
      <c r="A9" s="7" t="s">
        <v>1</v>
      </c>
      <c r="B9" s="36">
        <v>21178.8</v>
      </c>
      <c r="C9" s="20">
        <v>2150</v>
      </c>
      <c r="D9" s="29">
        <v>169.5</v>
      </c>
      <c r="E9" s="36">
        <v>8834.1</v>
      </c>
      <c r="F9" s="20">
        <v>921.5</v>
      </c>
      <c r="G9" s="29">
        <v>60.1</v>
      </c>
      <c r="H9" s="36">
        <f t="shared" si="1"/>
        <v>-12344.699999999999</v>
      </c>
      <c r="I9" s="20">
        <f t="shared" si="1"/>
        <v>-1228.5</v>
      </c>
      <c r="J9" s="29">
        <f t="shared" si="1"/>
        <v>-109.4</v>
      </c>
      <c r="K9" s="15">
        <f t="shared" si="0"/>
        <v>41.71199501388181</v>
      </c>
      <c r="L9" s="15">
        <f t="shared" si="0"/>
        <v>42.860465116279066</v>
      </c>
      <c r="M9" s="15">
        <f t="shared" si="0"/>
        <v>35.45722713864306</v>
      </c>
      <c r="N9" s="36">
        <f t="shared" si="2"/>
        <v>41.71199501388181</v>
      </c>
      <c r="O9" s="20">
        <f t="shared" si="2"/>
        <v>42.860465116279066</v>
      </c>
      <c r="P9" s="29">
        <f t="shared" si="2"/>
        <v>35.45722713864306</v>
      </c>
      <c r="Q9" s="43"/>
    </row>
    <row r="10" spans="1:17" ht="15" customHeight="1">
      <c r="A10" s="7" t="s">
        <v>2</v>
      </c>
      <c r="B10" s="36">
        <v>0</v>
      </c>
      <c r="C10" s="20">
        <v>190</v>
      </c>
      <c r="D10" s="29">
        <v>10</v>
      </c>
      <c r="E10" s="36">
        <v>0</v>
      </c>
      <c r="F10" s="20">
        <v>814.7</v>
      </c>
      <c r="G10" s="29">
        <v>15.9</v>
      </c>
      <c r="H10" s="36">
        <f t="shared" si="1"/>
        <v>0</v>
      </c>
      <c r="I10" s="20">
        <f t="shared" si="1"/>
        <v>624.7</v>
      </c>
      <c r="J10" s="29">
        <f t="shared" si="1"/>
        <v>5.9</v>
      </c>
      <c r="K10" s="15">
        <v>0</v>
      </c>
      <c r="L10" s="15">
        <f>F10/C10*100</f>
        <v>428.7894736842105</v>
      </c>
      <c r="M10" s="15">
        <f>G10/D10*100</f>
        <v>159</v>
      </c>
      <c r="N10" s="36">
        <v>0</v>
      </c>
      <c r="O10" s="20">
        <f t="shared" si="2"/>
        <v>428.7894736842105</v>
      </c>
      <c r="P10" s="29">
        <f t="shared" si="2"/>
        <v>159</v>
      </c>
      <c r="Q10" s="43"/>
    </row>
    <row r="11" spans="1:17" ht="24" customHeight="1">
      <c r="A11" s="7" t="s">
        <v>22</v>
      </c>
      <c r="B11" s="36">
        <v>595</v>
      </c>
      <c r="C11" s="20">
        <v>0</v>
      </c>
      <c r="D11" s="29">
        <v>0</v>
      </c>
      <c r="E11" s="36">
        <v>437.1</v>
      </c>
      <c r="F11" s="20">
        <v>0</v>
      </c>
      <c r="G11" s="29">
        <v>0</v>
      </c>
      <c r="H11" s="36">
        <f t="shared" si="1"/>
        <v>-157.89999999999998</v>
      </c>
      <c r="I11" s="20">
        <f t="shared" si="1"/>
        <v>0</v>
      </c>
      <c r="J11" s="29">
        <f t="shared" si="1"/>
        <v>0</v>
      </c>
      <c r="K11" s="15">
        <f>E11/B11*100</f>
        <v>73.46218487394958</v>
      </c>
      <c r="L11" s="15">
        <v>0</v>
      </c>
      <c r="M11" s="15">
        <v>0</v>
      </c>
      <c r="N11" s="36">
        <f t="shared" si="2"/>
        <v>73.46218487394958</v>
      </c>
      <c r="O11" s="20">
        <v>0</v>
      </c>
      <c r="P11" s="29">
        <v>0</v>
      </c>
      <c r="Q11" s="43"/>
    </row>
    <row r="12" spans="1:17" ht="14.25" customHeight="1">
      <c r="A12" s="57" t="s">
        <v>16</v>
      </c>
      <c r="B12" s="36">
        <v>0</v>
      </c>
      <c r="C12" s="20">
        <v>23223.4</v>
      </c>
      <c r="D12" s="29">
        <v>3199.9</v>
      </c>
      <c r="E12" s="36">
        <v>0</v>
      </c>
      <c r="F12" s="20">
        <v>2754.8</v>
      </c>
      <c r="G12" s="29">
        <v>301.2</v>
      </c>
      <c r="H12" s="36">
        <f t="shared" si="1"/>
        <v>0</v>
      </c>
      <c r="I12" s="20">
        <f t="shared" si="1"/>
        <v>-20468.600000000002</v>
      </c>
      <c r="J12" s="29">
        <f t="shared" si="1"/>
        <v>-2898.7000000000003</v>
      </c>
      <c r="K12" s="15">
        <v>0</v>
      </c>
      <c r="L12" s="15">
        <f aca="true" t="shared" si="3" ref="L12:M15">F12/C12*100</f>
        <v>11.862173497420706</v>
      </c>
      <c r="M12" s="15">
        <f t="shared" si="3"/>
        <v>9.41279414981718</v>
      </c>
      <c r="N12" s="36">
        <v>0</v>
      </c>
      <c r="O12" s="20">
        <f t="shared" si="2"/>
        <v>11.862173497420706</v>
      </c>
      <c r="P12" s="29">
        <f t="shared" si="2"/>
        <v>9.41279414981718</v>
      </c>
      <c r="Q12" s="43"/>
    </row>
    <row r="13" spans="1:17" ht="15" customHeight="1">
      <c r="A13" s="7" t="s">
        <v>18</v>
      </c>
      <c r="B13" s="36">
        <v>7336.8</v>
      </c>
      <c r="C13" s="20">
        <v>7800</v>
      </c>
      <c r="D13" s="29">
        <v>139.9</v>
      </c>
      <c r="E13" s="36">
        <v>3736.2</v>
      </c>
      <c r="F13" s="26">
        <v>3679.6</v>
      </c>
      <c r="G13" s="35">
        <v>56.6</v>
      </c>
      <c r="H13" s="36">
        <f t="shared" si="1"/>
        <v>-3600.6000000000004</v>
      </c>
      <c r="I13" s="20">
        <f t="shared" si="1"/>
        <v>-4120.4</v>
      </c>
      <c r="J13" s="29">
        <f t="shared" si="1"/>
        <v>-83.30000000000001</v>
      </c>
      <c r="K13" s="15">
        <f>E13/B13*100</f>
        <v>50.92410860320575</v>
      </c>
      <c r="L13" s="15">
        <f t="shared" si="3"/>
        <v>47.174358974358974</v>
      </c>
      <c r="M13" s="15">
        <f t="shared" si="3"/>
        <v>40.45746962115797</v>
      </c>
      <c r="N13" s="36">
        <f t="shared" si="2"/>
        <v>50.92410860320575</v>
      </c>
      <c r="O13" s="20">
        <f t="shared" si="2"/>
        <v>47.174358974358974</v>
      </c>
      <c r="P13" s="29">
        <f t="shared" si="2"/>
        <v>40.45746962115797</v>
      </c>
      <c r="Q13" s="43"/>
    </row>
    <row r="14" spans="1:17" ht="15" customHeight="1">
      <c r="A14" s="57" t="s">
        <v>19</v>
      </c>
      <c r="B14" s="36">
        <v>24387</v>
      </c>
      <c r="C14" s="20">
        <v>18500</v>
      </c>
      <c r="D14" s="29">
        <v>2650.7</v>
      </c>
      <c r="E14" s="36">
        <v>3437.1</v>
      </c>
      <c r="F14" s="20">
        <v>2769.6</v>
      </c>
      <c r="G14" s="35">
        <v>667.5</v>
      </c>
      <c r="H14" s="36">
        <f t="shared" si="1"/>
        <v>-20949.9</v>
      </c>
      <c r="I14" s="20">
        <f t="shared" si="1"/>
        <v>-15730.4</v>
      </c>
      <c r="J14" s="29">
        <f t="shared" si="1"/>
        <v>-1983.1999999999998</v>
      </c>
      <c r="K14" s="15">
        <f>E14/B14*100</f>
        <v>14.093984499938491</v>
      </c>
      <c r="L14" s="15">
        <f t="shared" si="3"/>
        <v>14.97081081081081</v>
      </c>
      <c r="M14" s="15">
        <f t="shared" si="3"/>
        <v>25.18202738899159</v>
      </c>
      <c r="N14" s="36">
        <f t="shared" si="2"/>
        <v>14.093984499938491</v>
      </c>
      <c r="O14" s="20">
        <f t="shared" si="2"/>
        <v>14.97081081081081</v>
      </c>
      <c r="P14" s="29">
        <f t="shared" si="2"/>
        <v>25.18202738899159</v>
      </c>
      <c r="Q14" s="43"/>
    </row>
    <row r="15" spans="1:17" ht="15.75" customHeight="1">
      <c r="A15" s="7" t="s">
        <v>8</v>
      </c>
      <c r="B15" s="36">
        <v>0</v>
      </c>
      <c r="C15" s="20">
        <v>54210</v>
      </c>
      <c r="D15" s="29">
        <v>14166.8</v>
      </c>
      <c r="E15" s="36">
        <v>0</v>
      </c>
      <c r="F15" s="20">
        <v>24011</v>
      </c>
      <c r="G15" s="29">
        <v>4795.6</v>
      </c>
      <c r="H15" s="36">
        <f t="shared" si="1"/>
        <v>0</v>
      </c>
      <c r="I15" s="20">
        <f t="shared" si="1"/>
        <v>-30199</v>
      </c>
      <c r="J15" s="29">
        <f t="shared" si="1"/>
        <v>-9371.199999999999</v>
      </c>
      <c r="K15" s="15">
        <v>0</v>
      </c>
      <c r="L15" s="15">
        <f t="shared" si="3"/>
        <v>44.29256594724221</v>
      </c>
      <c r="M15" s="15">
        <f t="shared" si="3"/>
        <v>33.850975520230406</v>
      </c>
      <c r="N15" s="36">
        <v>0</v>
      </c>
      <c r="O15" s="20">
        <f t="shared" si="2"/>
        <v>44.29256594724221</v>
      </c>
      <c r="P15" s="29">
        <f t="shared" si="2"/>
        <v>33.850975520230406</v>
      </c>
      <c r="Q15" s="43"/>
    </row>
    <row r="16" spans="1:17" ht="15" customHeight="1">
      <c r="A16" s="7" t="s">
        <v>3</v>
      </c>
      <c r="B16" s="36">
        <v>8451.2</v>
      </c>
      <c r="C16" s="20">
        <v>0</v>
      </c>
      <c r="D16" s="29">
        <v>63.5</v>
      </c>
      <c r="E16" s="36">
        <v>3311</v>
      </c>
      <c r="F16" s="20">
        <v>0</v>
      </c>
      <c r="G16" s="29">
        <v>21</v>
      </c>
      <c r="H16" s="36">
        <f t="shared" si="1"/>
        <v>-5140.200000000001</v>
      </c>
      <c r="I16" s="20">
        <f t="shared" si="1"/>
        <v>0</v>
      </c>
      <c r="J16" s="29">
        <f t="shared" si="1"/>
        <v>-42.5</v>
      </c>
      <c r="K16" s="15">
        <f>E16/B16*100</f>
        <v>39.1778682317304</v>
      </c>
      <c r="L16" s="15">
        <v>0</v>
      </c>
      <c r="M16" s="15">
        <f>G16/D16*100</f>
        <v>33.07086614173229</v>
      </c>
      <c r="N16" s="36">
        <f t="shared" si="2"/>
        <v>39.1778682317304</v>
      </c>
      <c r="O16" s="20">
        <v>0</v>
      </c>
      <c r="P16" s="29">
        <f t="shared" si="2"/>
        <v>33.07086614173229</v>
      </c>
      <c r="Q16" s="43"/>
    </row>
    <row r="17" spans="1:17" ht="15" customHeight="1">
      <c r="A17" s="59" t="s">
        <v>33</v>
      </c>
      <c r="B17" s="36">
        <v>0</v>
      </c>
      <c r="C17" s="20">
        <v>0</v>
      </c>
      <c r="D17" s="29">
        <v>0</v>
      </c>
      <c r="E17" s="36">
        <v>0</v>
      </c>
      <c r="F17" s="20">
        <v>0</v>
      </c>
      <c r="G17" s="29">
        <v>0</v>
      </c>
      <c r="H17" s="36">
        <f t="shared" si="1"/>
        <v>0</v>
      </c>
      <c r="I17" s="20">
        <f t="shared" si="1"/>
        <v>0</v>
      </c>
      <c r="J17" s="29">
        <f t="shared" si="1"/>
        <v>0</v>
      </c>
      <c r="K17" s="15">
        <v>0</v>
      </c>
      <c r="L17" s="15">
        <v>0</v>
      </c>
      <c r="M17" s="15">
        <v>0</v>
      </c>
      <c r="N17" s="36">
        <v>0</v>
      </c>
      <c r="O17" s="20">
        <v>0</v>
      </c>
      <c r="P17" s="29">
        <v>0</v>
      </c>
      <c r="Q17" s="43"/>
    </row>
    <row r="18" spans="1:17" ht="16.5" customHeight="1">
      <c r="A18" s="59" t="s">
        <v>13</v>
      </c>
      <c r="B18" s="36">
        <f>47368</f>
        <v>47368</v>
      </c>
      <c r="C18" s="20">
        <f>14600+454</f>
        <v>15054</v>
      </c>
      <c r="D18" s="29">
        <v>0</v>
      </c>
      <c r="E18" s="36">
        <f>12363.1+188.1</f>
        <v>12551.2</v>
      </c>
      <c r="F18" s="20">
        <f>5926.9+312.3+58.9</f>
        <v>6298.099999999999</v>
      </c>
      <c r="G18" s="29">
        <v>15</v>
      </c>
      <c r="H18" s="36">
        <f t="shared" si="1"/>
        <v>-34816.8</v>
      </c>
      <c r="I18" s="20">
        <f t="shared" si="1"/>
        <v>-8755.900000000001</v>
      </c>
      <c r="J18" s="29">
        <f t="shared" si="1"/>
        <v>15</v>
      </c>
      <c r="K18" s="15">
        <f aca="true" t="shared" si="4" ref="K18:L27">E18/B18*100</f>
        <v>26.497213308562745</v>
      </c>
      <c r="L18" s="15">
        <f t="shared" si="4"/>
        <v>41.836721137239266</v>
      </c>
      <c r="M18" s="15">
        <v>0</v>
      </c>
      <c r="N18" s="36">
        <f t="shared" si="2"/>
        <v>26.497213308562745</v>
      </c>
      <c r="O18" s="20">
        <f t="shared" si="2"/>
        <v>41.836721137239266</v>
      </c>
      <c r="P18" s="29">
        <v>0</v>
      </c>
      <c r="Q18" s="43"/>
    </row>
    <row r="19" spans="1:17" ht="15" customHeight="1">
      <c r="A19" s="57" t="s">
        <v>4</v>
      </c>
      <c r="B19" s="36">
        <v>4500</v>
      </c>
      <c r="C19" s="20">
        <v>2782</v>
      </c>
      <c r="D19" s="29">
        <v>531.8</v>
      </c>
      <c r="E19" s="36">
        <v>1983.7</v>
      </c>
      <c r="F19" s="20">
        <v>1040.4</v>
      </c>
      <c r="G19" s="29">
        <v>158.9</v>
      </c>
      <c r="H19" s="36">
        <f t="shared" si="1"/>
        <v>-2516.3</v>
      </c>
      <c r="I19" s="20">
        <f t="shared" si="1"/>
        <v>-1741.6</v>
      </c>
      <c r="J19" s="29">
        <f t="shared" si="1"/>
        <v>-372.9</v>
      </c>
      <c r="K19" s="15">
        <f t="shared" si="4"/>
        <v>44.08222222222222</v>
      </c>
      <c r="L19" s="15">
        <f t="shared" si="4"/>
        <v>37.39755571531273</v>
      </c>
      <c r="M19" s="15">
        <f>G19/D19*100</f>
        <v>29.879654005265138</v>
      </c>
      <c r="N19" s="36">
        <f t="shared" si="2"/>
        <v>44.08222222222222</v>
      </c>
      <c r="O19" s="20">
        <f t="shared" si="2"/>
        <v>37.39755571531273</v>
      </c>
      <c r="P19" s="29">
        <f t="shared" si="2"/>
        <v>29.879654005265138</v>
      </c>
      <c r="Q19" s="43"/>
    </row>
    <row r="20" spans="1:17" ht="27" customHeight="1">
      <c r="A20" s="59" t="s">
        <v>24</v>
      </c>
      <c r="B20" s="36">
        <f>667+101.6</f>
        <v>768.6</v>
      </c>
      <c r="C20" s="20">
        <f>235.8+2944.5</f>
        <v>3180.3</v>
      </c>
      <c r="D20" s="29">
        <v>0</v>
      </c>
      <c r="E20" s="36">
        <v>43</v>
      </c>
      <c r="F20" s="20">
        <v>942.8</v>
      </c>
      <c r="G20" s="29">
        <v>0</v>
      </c>
      <c r="H20" s="36">
        <f t="shared" si="1"/>
        <v>-725.6</v>
      </c>
      <c r="I20" s="20">
        <f t="shared" si="1"/>
        <v>-2237.5</v>
      </c>
      <c r="J20" s="29">
        <f t="shared" si="1"/>
        <v>0</v>
      </c>
      <c r="K20" s="15">
        <f t="shared" si="4"/>
        <v>5.594587561800676</v>
      </c>
      <c r="L20" s="15">
        <f t="shared" si="4"/>
        <v>29.645002043832342</v>
      </c>
      <c r="M20" s="15">
        <v>0</v>
      </c>
      <c r="N20" s="36">
        <f t="shared" si="2"/>
        <v>5.594587561800676</v>
      </c>
      <c r="O20" s="20">
        <f t="shared" si="2"/>
        <v>29.645002043832342</v>
      </c>
      <c r="P20" s="29">
        <v>0</v>
      </c>
      <c r="Q20" s="43"/>
    </row>
    <row r="21" spans="1:17" ht="16.5" customHeight="1">
      <c r="A21" s="57" t="s">
        <v>5</v>
      </c>
      <c r="B21" s="36">
        <v>6866</v>
      </c>
      <c r="C21" s="20">
        <v>0</v>
      </c>
      <c r="D21" s="29">
        <v>0</v>
      </c>
      <c r="E21" s="36">
        <v>2190.7</v>
      </c>
      <c r="F21" s="20">
        <v>0</v>
      </c>
      <c r="G21" s="29">
        <v>0</v>
      </c>
      <c r="H21" s="36">
        <f t="shared" si="1"/>
        <v>-4675.3</v>
      </c>
      <c r="I21" s="20">
        <f t="shared" si="1"/>
        <v>0</v>
      </c>
      <c r="J21" s="29">
        <f t="shared" si="1"/>
        <v>0</v>
      </c>
      <c r="K21" s="15">
        <f t="shared" si="4"/>
        <v>31.906495776288956</v>
      </c>
      <c r="L21" s="15">
        <v>0</v>
      </c>
      <c r="M21" s="15">
        <v>0</v>
      </c>
      <c r="N21" s="36">
        <f t="shared" si="2"/>
        <v>31.906495776288956</v>
      </c>
      <c r="O21" s="20">
        <v>0</v>
      </c>
      <c r="P21" s="29">
        <v>0</v>
      </c>
      <c r="Q21" s="43"/>
    </row>
    <row r="22" spans="1:17" ht="15.75" customHeight="1">
      <c r="A22" s="57" t="s">
        <v>20</v>
      </c>
      <c r="B22" s="36">
        <v>2998</v>
      </c>
      <c r="C22" s="20">
        <v>100</v>
      </c>
      <c r="D22" s="29">
        <v>0</v>
      </c>
      <c r="E22" s="36">
        <v>488.2</v>
      </c>
      <c r="F22" s="20">
        <v>233.6</v>
      </c>
      <c r="G22" s="29">
        <v>7.3</v>
      </c>
      <c r="H22" s="36">
        <f t="shared" si="1"/>
        <v>-2509.8</v>
      </c>
      <c r="I22" s="20">
        <f t="shared" si="1"/>
        <v>133.6</v>
      </c>
      <c r="J22" s="29">
        <f t="shared" si="1"/>
        <v>7.3</v>
      </c>
      <c r="K22" s="15">
        <f t="shared" si="4"/>
        <v>16.28418945963976</v>
      </c>
      <c r="L22" s="15">
        <f>F22/C22*100</f>
        <v>233.6</v>
      </c>
      <c r="M22" s="15">
        <v>0</v>
      </c>
      <c r="N22" s="36">
        <f t="shared" si="2"/>
        <v>16.28418945963976</v>
      </c>
      <c r="O22" s="20">
        <f t="shared" si="2"/>
        <v>233.6</v>
      </c>
      <c r="P22" s="29">
        <v>0</v>
      </c>
      <c r="Q22" s="43"/>
    </row>
    <row r="23" spans="1:17" ht="15" customHeight="1">
      <c r="A23" s="57" t="s">
        <v>6</v>
      </c>
      <c r="B23" s="36">
        <v>11.9</v>
      </c>
      <c r="C23" s="20">
        <v>0</v>
      </c>
      <c r="D23" s="29">
        <v>0</v>
      </c>
      <c r="E23" s="36">
        <v>96.9</v>
      </c>
      <c r="F23" s="20">
        <v>0</v>
      </c>
      <c r="G23" s="29">
        <v>0</v>
      </c>
      <c r="H23" s="36">
        <f t="shared" si="1"/>
        <v>85</v>
      </c>
      <c r="I23" s="20">
        <f t="shared" si="1"/>
        <v>0</v>
      </c>
      <c r="J23" s="29">
        <f t="shared" si="1"/>
        <v>0</v>
      </c>
      <c r="K23" s="15">
        <f t="shared" si="4"/>
        <v>814.2857142857142</v>
      </c>
      <c r="L23" s="15" t="e">
        <f>F23/C23*100</f>
        <v>#DIV/0!</v>
      </c>
      <c r="M23" s="15">
        <v>0</v>
      </c>
      <c r="N23" s="36">
        <f t="shared" si="2"/>
        <v>814.2857142857142</v>
      </c>
      <c r="O23" s="20">
        <v>0</v>
      </c>
      <c r="P23" s="29">
        <v>0</v>
      </c>
      <c r="Q23" s="43"/>
    </row>
    <row r="24" spans="1:17" ht="15.75" customHeight="1">
      <c r="A24" s="57" t="s">
        <v>29</v>
      </c>
      <c r="B24" s="36">
        <v>0</v>
      </c>
      <c r="C24" s="20">
        <v>7298.7</v>
      </c>
      <c r="D24" s="29">
        <v>2197.4</v>
      </c>
      <c r="E24" s="36">
        <v>0</v>
      </c>
      <c r="F24" s="20">
        <v>739.3</v>
      </c>
      <c r="G24" s="29">
        <v>25.5</v>
      </c>
      <c r="H24" s="36">
        <f t="shared" si="1"/>
        <v>0</v>
      </c>
      <c r="I24" s="20">
        <f t="shared" si="1"/>
        <v>-6559.4</v>
      </c>
      <c r="J24" s="29">
        <f t="shared" si="1"/>
        <v>-2171.9</v>
      </c>
      <c r="K24" s="15" t="e">
        <f t="shared" si="4"/>
        <v>#DIV/0!</v>
      </c>
      <c r="L24" s="15">
        <f>F24/C24*100</f>
        <v>10.129201090605177</v>
      </c>
      <c r="M24" s="15">
        <f>G24/D24*100</f>
        <v>1.1604623646127241</v>
      </c>
      <c r="N24" s="36">
        <v>0</v>
      </c>
      <c r="O24" s="20">
        <f t="shared" si="2"/>
        <v>10.129201090605177</v>
      </c>
      <c r="P24" s="29">
        <f t="shared" si="2"/>
        <v>1.1604623646127241</v>
      </c>
      <c r="Q24" s="43"/>
    </row>
    <row r="25" spans="1:17" ht="27" customHeight="1">
      <c r="A25" s="57" t="s">
        <v>17</v>
      </c>
      <c r="B25" s="36">
        <f>4500+330</f>
        <v>4830</v>
      </c>
      <c r="C25" s="20">
        <f>7618.8+385</f>
        <v>8003.8</v>
      </c>
      <c r="D25" s="29">
        <v>60.3</v>
      </c>
      <c r="E25" s="36">
        <f>3685+126.5</f>
        <v>3811.5</v>
      </c>
      <c r="F25" s="20">
        <f>4001.4+60.7</f>
        <v>4062.1</v>
      </c>
      <c r="G25" s="29">
        <v>-92.4</v>
      </c>
      <c r="H25" s="36">
        <f t="shared" si="1"/>
        <v>-1018.5</v>
      </c>
      <c r="I25" s="20">
        <f t="shared" si="1"/>
        <v>-3941.7000000000003</v>
      </c>
      <c r="J25" s="29">
        <f t="shared" si="1"/>
        <v>-152.7</v>
      </c>
      <c r="K25" s="15">
        <f t="shared" si="4"/>
        <v>78.91304347826087</v>
      </c>
      <c r="L25" s="15">
        <f>F25/C25*100</f>
        <v>50.7521427322022</v>
      </c>
      <c r="M25" s="15">
        <v>0</v>
      </c>
      <c r="N25" s="36">
        <f t="shared" si="2"/>
        <v>78.91304347826087</v>
      </c>
      <c r="O25" s="20">
        <f t="shared" si="2"/>
        <v>50.7521427322022</v>
      </c>
      <c r="P25" s="29">
        <v>0</v>
      </c>
      <c r="Q25" s="43"/>
    </row>
    <row r="26" spans="1:17" ht="16.5" customHeight="1">
      <c r="A26" s="7" t="s">
        <v>7</v>
      </c>
      <c r="B26" s="36">
        <v>9756.8</v>
      </c>
      <c r="C26" s="20">
        <v>297.2</v>
      </c>
      <c r="D26" s="29">
        <v>16</v>
      </c>
      <c r="E26" s="48">
        <v>6306.5</v>
      </c>
      <c r="F26" s="26">
        <v>515.1</v>
      </c>
      <c r="G26" s="35">
        <v>20.4</v>
      </c>
      <c r="H26" s="36">
        <f t="shared" si="1"/>
        <v>-3450.2999999999993</v>
      </c>
      <c r="I26" s="20">
        <f t="shared" si="1"/>
        <v>217.90000000000003</v>
      </c>
      <c r="J26" s="29">
        <f t="shared" si="1"/>
        <v>4.399999999999999</v>
      </c>
      <c r="K26" s="15">
        <f t="shared" si="4"/>
        <v>64.63697113807805</v>
      </c>
      <c r="L26" s="15">
        <f>F26/C26*100</f>
        <v>173.31763122476448</v>
      </c>
      <c r="M26" s="15">
        <f>G26/D26*100</f>
        <v>127.49999999999999</v>
      </c>
      <c r="N26" s="36">
        <f t="shared" si="2"/>
        <v>64.63697113807805</v>
      </c>
      <c r="O26" s="20">
        <f t="shared" si="2"/>
        <v>173.31763122476448</v>
      </c>
      <c r="P26" s="29">
        <f t="shared" si="2"/>
        <v>127.49999999999999</v>
      </c>
      <c r="Q26" s="43"/>
    </row>
    <row r="27" spans="1:17" ht="14.25" customHeight="1">
      <c r="A27" s="7" t="s">
        <v>9</v>
      </c>
      <c r="B27" s="36">
        <v>135.5</v>
      </c>
      <c r="C27" s="20">
        <v>0</v>
      </c>
      <c r="D27" s="29">
        <v>49.6</v>
      </c>
      <c r="E27" s="36">
        <v>65.9</v>
      </c>
      <c r="F27" s="20">
        <v>55.1</v>
      </c>
      <c r="G27" s="29">
        <f>21+141.6</f>
        <v>162.6</v>
      </c>
      <c r="H27" s="36">
        <f t="shared" si="1"/>
        <v>-69.6</v>
      </c>
      <c r="I27" s="20">
        <f t="shared" si="1"/>
        <v>55.1</v>
      </c>
      <c r="J27" s="29">
        <f t="shared" si="1"/>
        <v>113</v>
      </c>
      <c r="K27" s="15">
        <f t="shared" si="4"/>
        <v>48.63468634686347</v>
      </c>
      <c r="L27" s="15">
        <v>0</v>
      </c>
      <c r="M27" s="15">
        <v>0</v>
      </c>
      <c r="N27" s="36">
        <f t="shared" si="2"/>
        <v>48.63468634686347</v>
      </c>
      <c r="O27" s="20">
        <v>0</v>
      </c>
      <c r="P27" s="29">
        <f t="shared" si="2"/>
        <v>327.8225806451613</v>
      </c>
      <c r="Q27" s="43"/>
    </row>
    <row r="28" spans="1:17" ht="16.5" customHeight="1" thickBot="1">
      <c r="A28" s="8" t="s">
        <v>10</v>
      </c>
      <c r="B28" s="37">
        <v>0</v>
      </c>
      <c r="C28" s="21">
        <v>0</v>
      </c>
      <c r="D28" s="30">
        <v>0</v>
      </c>
      <c r="E28" s="37">
        <v>-19</v>
      </c>
      <c r="F28" s="25">
        <v>0</v>
      </c>
      <c r="G28" s="34">
        <v>155</v>
      </c>
      <c r="H28" s="37">
        <f t="shared" si="1"/>
        <v>-19</v>
      </c>
      <c r="I28" s="21">
        <f t="shared" si="1"/>
        <v>0</v>
      </c>
      <c r="J28" s="30">
        <f t="shared" si="1"/>
        <v>155</v>
      </c>
      <c r="K28" s="16">
        <v>0</v>
      </c>
      <c r="L28" s="16">
        <v>0</v>
      </c>
      <c r="M28" s="16">
        <v>0</v>
      </c>
      <c r="N28" s="36">
        <v>0</v>
      </c>
      <c r="O28" s="20">
        <v>0</v>
      </c>
      <c r="P28" s="29">
        <v>0</v>
      </c>
      <c r="Q28" s="43"/>
    </row>
    <row r="29" spans="1:17" ht="15" customHeight="1" thickBot="1">
      <c r="A29" s="9" t="s">
        <v>14</v>
      </c>
      <c r="B29" s="38">
        <f>B7+B8+B9+B10+B11+B13+B12+B14+B15+B16+B17+B18+B19+B20+B21+B22+B23+B24+B25+B26+B27+B28</f>
        <v>386117.9</v>
      </c>
      <c r="C29" s="22">
        <f>SUM(C7:C28)</f>
        <v>226879.2</v>
      </c>
      <c r="D29" s="31">
        <f>SUM(D7:D28)</f>
        <v>36112.600000000006</v>
      </c>
      <c r="E29" s="38">
        <f>SUM(E7:E28)</f>
        <v>138761.4</v>
      </c>
      <c r="F29" s="27">
        <f>SUM(F7:F28)</f>
        <v>80059.30000000003</v>
      </c>
      <c r="G29" s="31">
        <f>SUM(G7:G28)</f>
        <v>11026.3</v>
      </c>
      <c r="H29" s="51">
        <f t="shared" si="1"/>
        <v>-247356.50000000003</v>
      </c>
      <c r="I29" s="52">
        <f t="shared" si="1"/>
        <v>-146819.89999999997</v>
      </c>
      <c r="J29" s="53">
        <f t="shared" si="1"/>
        <v>-25086.300000000007</v>
      </c>
      <c r="K29" s="44">
        <f aca="true" t="shared" si="5" ref="K29:M32">E29/B29*100</f>
        <v>35.93757243577674</v>
      </c>
      <c r="L29" s="44">
        <f t="shared" si="5"/>
        <v>35.287192479522155</v>
      </c>
      <c r="M29" s="18">
        <f t="shared" si="5"/>
        <v>30.533110327143426</v>
      </c>
      <c r="N29" s="49">
        <f aca="true" t="shared" si="6" ref="N29:P35">E29/B29*100</f>
        <v>35.93757243577674</v>
      </c>
      <c r="O29" s="52">
        <f t="shared" si="6"/>
        <v>35.287192479522155</v>
      </c>
      <c r="P29" s="55">
        <f t="shared" si="6"/>
        <v>30.533110327143426</v>
      </c>
      <c r="Q29" s="43"/>
    </row>
    <row r="30" spans="1:17" ht="26.25" customHeight="1">
      <c r="A30" s="10" t="s">
        <v>21</v>
      </c>
      <c r="B30" s="39">
        <v>153075.8</v>
      </c>
      <c r="C30" s="23">
        <v>14436.5</v>
      </c>
      <c r="D30" s="32">
        <v>24746.5</v>
      </c>
      <c r="E30" s="39">
        <v>61230.4</v>
      </c>
      <c r="F30" s="23">
        <v>6015.5</v>
      </c>
      <c r="G30" s="32">
        <v>8386.1</v>
      </c>
      <c r="H30" s="39">
        <f aca="true" t="shared" si="7" ref="H30:J35">E30-B30</f>
        <v>-91845.4</v>
      </c>
      <c r="I30" s="23">
        <f t="shared" si="7"/>
        <v>-8421</v>
      </c>
      <c r="J30" s="32">
        <f t="shared" si="7"/>
        <v>-16360.4</v>
      </c>
      <c r="K30" s="17">
        <f t="shared" si="5"/>
        <v>40.000052261689966</v>
      </c>
      <c r="L30" s="17">
        <f t="shared" si="5"/>
        <v>41.66868700862397</v>
      </c>
      <c r="M30" s="17">
        <f t="shared" si="5"/>
        <v>33.88802456913099</v>
      </c>
      <c r="N30" s="39">
        <f t="shared" si="6"/>
        <v>40.000052261689966</v>
      </c>
      <c r="O30" s="23">
        <f t="shared" si="6"/>
        <v>41.66868700862397</v>
      </c>
      <c r="P30" s="32">
        <f t="shared" si="6"/>
        <v>33.88802456913099</v>
      </c>
      <c r="Q30" s="43"/>
    </row>
    <row r="31" spans="1:17" ht="27.75" customHeight="1">
      <c r="A31" s="11" t="s">
        <v>32</v>
      </c>
      <c r="B31" s="36">
        <f>196419+605090+88654.5</f>
        <v>890163.5</v>
      </c>
      <c r="C31" s="20">
        <f>17977.1+1818+11539.9</f>
        <v>31335</v>
      </c>
      <c r="D31" s="29">
        <f>3449.8+787.6+16610.5</f>
        <v>20847.9</v>
      </c>
      <c r="E31" s="36">
        <f>40584.5+308957.3+6588.9</f>
        <v>356130.7</v>
      </c>
      <c r="F31" s="20">
        <f>1697+967.7+703.8</f>
        <v>3368.5</v>
      </c>
      <c r="G31" s="29">
        <f>2268.6+379.4+4300</f>
        <v>6948</v>
      </c>
      <c r="H31" s="36">
        <f t="shared" si="7"/>
        <v>-534032.8</v>
      </c>
      <c r="I31" s="23">
        <f t="shared" si="7"/>
        <v>-27966.5</v>
      </c>
      <c r="J31" s="32">
        <f t="shared" si="7"/>
        <v>-13899.900000000001</v>
      </c>
      <c r="K31" s="17">
        <f t="shared" si="5"/>
        <v>40.0073357310202</v>
      </c>
      <c r="L31" s="15">
        <f t="shared" si="5"/>
        <v>10.749960108504867</v>
      </c>
      <c r="M31" s="15">
        <f t="shared" si="5"/>
        <v>33.32709769329284</v>
      </c>
      <c r="N31" s="36">
        <f t="shared" si="6"/>
        <v>40.0073357310202</v>
      </c>
      <c r="O31" s="20">
        <f t="shared" si="6"/>
        <v>10.749960108504867</v>
      </c>
      <c r="P31" s="29">
        <f t="shared" si="6"/>
        <v>33.32709769329284</v>
      </c>
      <c r="Q31" s="43"/>
    </row>
    <row r="32" spans="1:17" ht="18" customHeight="1" thickBot="1">
      <c r="A32" s="12" t="s">
        <v>11</v>
      </c>
      <c r="B32" s="37">
        <v>183.2</v>
      </c>
      <c r="C32" s="21">
        <v>157</v>
      </c>
      <c r="D32" s="30">
        <v>498.6</v>
      </c>
      <c r="E32" s="37">
        <v>183.2</v>
      </c>
      <c r="F32" s="21">
        <v>157</v>
      </c>
      <c r="G32" s="30">
        <v>548.6</v>
      </c>
      <c r="H32" s="37">
        <f t="shared" si="7"/>
        <v>0</v>
      </c>
      <c r="I32" s="25">
        <f t="shared" si="7"/>
        <v>0</v>
      </c>
      <c r="J32" s="34">
        <f t="shared" si="7"/>
        <v>50</v>
      </c>
      <c r="K32" s="19">
        <f t="shared" si="5"/>
        <v>100</v>
      </c>
      <c r="L32" s="16">
        <v>0</v>
      </c>
      <c r="M32" s="16">
        <f t="shared" si="5"/>
        <v>110.02807862013637</v>
      </c>
      <c r="N32" s="36">
        <f t="shared" si="6"/>
        <v>100</v>
      </c>
      <c r="O32" s="20">
        <f t="shared" si="6"/>
        <v>100</v>
      </c>
      <c r="P32" s="29">
        <f t="shared" si="6"/>
        <v>110.02807862013637</v>
      </c>
      <c r="Q32" s="43"/>
    </row>
    <row r="33" spans="1:17" ht="14.25" customHeight="1" thickBot="1">
      <c r="A33" s="13" t="s">
        <v>31</v>
      </c>
      <c r="B33" s="40">
        <f aca="true" t="shared" si="8" ref="B33:G33">SUM(B30:B32)</f>
        <v>1043422.5</v>
      </c>
      <c r="C33" s="24">
        <f t="shared" si="8"/>
        <v>45928.5</v>
      </c>
      <c r="D33" s="33">
        <f t="shared" si="8"/>
        <v>46093</v>
      </c>
      <c r="E33" s="40">
        <f t="shared" si="8"/>
        <v>417544.30000000005</v>
      </c>
      <c r="F33" s="24">
        <f t="shared" si="8"/>
        <v>9541</v>
      </c>
      <c r="G33" s="33">
        <f t="shared" si="8"/>
        <v>15882.7</v>
      </c>
      <c r="H33" s="51">
        <f t="shared" si="7"/>
        <v>-625878.2</v>
      </c>
      <c r="I33" s="52">
        <f t="shared" si="7"/>
        <v>-36387.5</v>
      </c>
      <c r="J33" s="53">
        <f t="shared" si="7"/>
        <v>-30210.3</v>
      </c>
      <c r="K33" s="56">
        <f>E33/B33*100</f>
        <v>40.01680048110905</v>
      </c>
      <c r="L33" s="18">
        <f>F33/C33*100</f>
        <v>20.773593738092906</v>
      </c>
      <c r="M33" s="18">
        <f>G33/D33*100</f>
        <v>34.457943722474134</v>
      </c>
      <c r="N33" s="49">
        <f t="shared" si="6"/>
        <v>40.01680048110905</v>
      </c>
      <c r="O33" s="52">
        <f t="shared" si="6"/>
        <v>20.773593738092906</v>
      </c>
      <c r="P33" s="55">
        <f t="shared" si="6"/>
        <v>34.457943722474134</v>
      </c>
      <c r="Q33" s="43"/>
    </row>
    <row r="34" spans="1:17" ht="27" customHeight="1" thickBot="1">
      <c r="A34" s="14" t="s">
        <v>30</v>
      </c>
      <c r="B34" s="41">
        <v>478.9</v>
      </c>
      <c r="C34" s="25">
        <v>6317.5</v>
      </c>
      <c r="D34" s="34">
        <v>81.6</v>
      </c>
      <c r="E34" s="41">
        <f>1667-4899.9</f>
        <v>-3232.8999999999996</v>
      </c>
      <c r="F34" s="25">
        <f>6333.9-1963.3</f>
        <v>4370.599999999999</v>
      </c>
      <c r="G34" s="34">
        <f>94.3-69.5</f>
        <v>24.799999999999997</v>
      </c>
      <c r="H34" s="41">
        <f t="shared" si="7"/>
        <v>-3711.7999999999997</v>
      </c>
      <c r="I34" s="25">
        <f t="shared" si="7"/>
        <v>-1946.9000000000005</v>
      </c>
      <c r="J34" s="34">
        <f t="shared" si="7"/>
        <v>-56.8</v>
      </c>
      <c r="K34" s="45">
        <v>0</v>
      </c>
      <c r="L34" s="46">
        <v>0</v>
      </c>
      <c r="M34" s="47">
        <v>0</v>
      </c>
      <c r="N34" s="41">
        <v>0</v>
      </c>
      <c r="O34" s="25">
        <v>0</v>
      </c>
      <c r="P34" s="54">
        <v>0</v>
      </c>
      <c r="Q34" s="43"/>
    </row>
    <row r="35" spans="1:17" ht="15" customHeight="1" thickBot="1">
      <c r="A35" s="6" t="s">
        <v>15</v>
      </c>
      <c r="B35" s="40">
        <f aca="true" t="shared" si="9" ref="B35:G35">B29+B33+B34</f>
        <v>1430019.2999999998</v>
      </c>
      <c r="C35" s="24">
        <f t="shared" si="9"/>
        <v>279125.2</v>
      </c>
      <c r="D35" s="33">
        <f t="shared" si="9"/>
        <v>82287.20000000001</v>
      </c>
      <c r="E35" s="49">
        <f t="shared" si="9"/>
        <v>553072.8</v>
      </c>
      <c r="F35" s="28">
        <f t="shared" si="9"/>
        <v>93970.90000000004</v>
      </c>
      <c r="G35" s="42">
        <f t="shared" si="9"/>
        <v>26933.8</v>
      </c>
      <c r="H35" s="51">
        <f t="shared" si="7"/>
        <v>-876946.4999999998</v>
      </c>
      <c r="I35" s="52">
        <f t="shared" si="7"/>
        <v>-185154.3</v>
      </c>
      <c r="J35" s="53">
        <f t="shared" si="7"/>
        <v>-55353.40000000001</v>
      </c>
      <c r="K35" s="44">
        <f>E35/B35*100</f>
        <v>38.67589759103252</v>
      </c>
      <c r="L35" s="44">
        <f>F35/C35*100</f>
        <v>33.666218600112074</v>
      </c>
      <c r="M35" s="18">
        <f>G35/D35*100</f>
        <v>32.731457626459516</v>
      </c>
      <c r="N35" s="49">
        <f t="shared" si="6"/>
        <v>38.67589759103252</v>
      </c>
      <c r="O35" s="52">
        <f t="shared" si="6"/>
        <v>33.666218600112074</v>
      </c>
      <c r="P35" s="55">
        <f t="shared" si="6"/>
        <v>32.731457626459516</v>
      </c>
      <c r="Q35" s="43"/>
    </row>
    <row r="36" spans="8:17" ht="12.75">
      <c r="H36" s="43"/>
      <c r="I36" s="43"/>
      <c r="J36" s="43"/>
      <c r="Q36" s="43"/>
    </row>
    <row r="37" spans="1:16" ht="12.75">
      <c r="A37" t="s">
        <v>44</v>
      </c>
      <c r="B37" s="58"/>
      <c r="C37" s="58"/>
      <c r="D37" s="5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2:8" ht="12.75">
      <c r="B38" s="43"/>
      <c r="C38" s="43"/>
      <c r="D38" s="43"/>
      <c r="E38" s="43"/>
      <c r="F38" s="43"/>
      <c r="G38" s="43"/>
      <c r="H38" s="43"/>
    </row>
    <row r="39" ht="12.75">
      <c r="E39" s="50"/>
    </row>
    <row r="41" spans="6:8" ht="12.75">
      <c r="F41" s="43"/>
      <c r="H41" s="43"/>
    </row>
  </sheetData>
  <sheetProtection/>
  <mergeCells count="6">
    <mergeCell ref="A2:P2"/>
    <mergeCell ref="B4:D4"/>
    <mergeCell ref="E4:G4"/>
    <mergeCell ref="H4:J4"/>
    <mergeCell ref="K4:M4"/>
    <mergeCell ref="N4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32.75390625" style="0" customWidth="1"/>
    <col min="2" max="2" width="11.125" style="0" customWidth="1"/>
    <col min="3" max="4" width="9.875" style="0" customWidth="1"/>
    <col min="5" max="5" width="10.625" style="0" customWidth="1"/>
    <col min="6" max="6" width="10.00390625" style="0" customWidth="1"/>
    <col min="7" max="7" width="10.125" style="0" customWidth="1"/>
    <col min="8" max="8" width="11.375" style="0" customWidth="1"/>
    <col min="9" max="9" width="10.625" style="0" customWidth="1"/>
    <col min="10" max="10" width="10.125" style="0" customWidth="1"/>
    <col min="11" max="12" width="9.25390625" style="0" hidden="1" customWidth="1"/>
    <col min="13" max="13" width="0.6171875" style="0" hidden="1" customWidth="1"/>
    <col min="14" max="14" width="10.75390625" style="0" customWidth="1"/>
    <col min="15" max="15" width="10.25390625" style="0" customWidth="1"/>
    <col min="16" max="16" width="9.75390625" style="0" customWidth="1"/>
    <col min="17" max="17" width="11.625" style="0" customWidth="1"/>
  </cols>
  <sheetData>
    <row r="2" spans="1:16" ht="18.75" customHeight="1">
      <c r="A2" s="62" t="s">
        <v>45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4" spans="1:16" ht="15.75">
      <c r="A4" s="2" t="s">
        <v>12</v>
      </c>
      <c r="B4" s="64" t="s">
        <v>38</v>
      </c>
      <c r="C4" s="65"/>
      <c r="D4" s="66"/>
      <c r="E4" s="64" t="s">
        <v>34</v>
      </c>
      <c r="F4" s="65"/>
      <c r="G4" s="66"/>
      <c r="H4" s="64" t="s">
        <v>35</v>
      </c>
      <c r="I4" s="65"/>
      <c r="J4" s="66"/>
      <c r="K4" s="64" t="s">
        <v>27</v>
      </c>
      <c r="L4" s="65"/>
      <c r="M4" s="66"/>
      <c r="N4" s="64" t="s">
        <v>27</v>
      </c>
      <c r="O4" s="65"/>
      <c r="P4" s="66"/>
    </row>
    <row r="5" spans="1:16" ht="29.25" customHeight="1">
      <c r="A5" s="3"/>
      <c r="B5" s="1" t="s">
        <v>25</v>
      </c>
      <c r="C5" s="1" t="s">
        <v>26</v>
      </c>
      <c r="D5" s="5" t="s">
        <v>28</v>
      </c>
      <c r="E5" s="1" t="s">
        <v>25</v>
      </c>
      <c r="F5" s="1" t="s">
        <v>26</v>
      </c>
      <c r="G5" s="1" t="s">
        <v>28</v>
      </c>
      <c r="H5" s="1" t="s">
        <v>25</v>
      </c>
      <c r="I5" s="1" t="s">
        <v>26</v>
      </c>
      <c r="J5" s="1" t="s">
        <v>28</v>
      </c>
      <c r="K5" s="1" t="s">
        <v>25</v>
      </c>
      <c r="L5" s="1" t="s">
        <v>26</v>
      </c>
      <c r="M5" s="1" t="s">
        <v>28</v>
      </c>
      <c r="N5" s="1" t="s">
        <v>25</v>
      </c>
      <c r="O5" s="1" t="s">
        <v>26</v>
      </c>
      <c r="P5" s="1" t="s">
        <v>28</v>
      </c>
    </row>
    <row r="6" spans="1:16" ht="12.75">
      <c r="A6" s="5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11</v>
      </c>
      <c r="O6" s="4">
        <v>12</v>
      </c>
      <c r="P6" s="4">
        <v>13</v>
      </c>
    </row>
    <row r="7" spans="1:19" ht="13.5" customHeight="1">
      <c r="A7" s="7" t="s">
        <v>0</v>
      </c>
      <c r="B7" s="36">
        <v>241658.6</v>
      </c>
      <c r="C7" s="20">
        <v>80380.1</v>
      </c>
      <c r="D7" s="29">
        <v>9505.4</v>
      </c>
      <c r="E7" s="36">
        <v>105788.3</v>
      </c>
      <c r="F7" s="20">
        <v>35093.8</v>
      </c>
      <c r="G7" s="29">
        <v>3823.3</v>
      </c>
      <c r="H7" s="36">
        <f>E7-B7</f>
        <v>-135870.3</v>
      </c>
      <c r="I7" s="20">
        <f>F7-C7</f>
        <v>-45286.3</v>
      </c>
      <c r="J7" s="29">
        <f>G7-D7</f>
        <v>-5682.099999999999</v>
      </c>
      <c r="K7" s="15">
        <f aca="true" t="shared" si="0" ref="K7:M9">E7/B7*100</f>
        <v>43.77593017587621</v>
      </c>
      <c r="L7" s="15">
        <f t="shared" si="0"/>
        <v>43.65981132145892</v>
      </c>
      <c r="M7" s="15">
        <f t="shared" si="0"/>
        <v>40.22239989900478</v>
      </c>
      <c r="N7" s="36">
        <f>E7/B7*100</f>
        <v>43.77593017587621</v>
      </c>
      <c r="O7" s="20">
        <f>F7/C7*100</f>
        <v>43.65981132145892</v>
      </c>
      <c r="P7" s="29">
        <f>G7/D7*100</f>
        <v>40.22239989900478</v>
      </c>
      <c r="Q7" s="43"/>
      <c r="R7" s="43"/>
      <c r="S7" s="43"/>
    </row>
    <row r="8" spans="1:17" ht="12.75">
      <c r="A8" s="7" t="s">
        <v>23</v>
      </c>
      <c r="B8" s="36">
        <v>5275.7</v>
      </c>
      <c r="C8" s="20">
        <v>3709.7</v>
      </c>
      <c r="D8" s="29">
        <v>3351.8</v>
      </c>
      <c r="E8" s="36">
        <v>2735.7</v>
      </c>
      <c r="F8" s="20">
        <v>1902.8</v>
      </c>
      <c r="G8" s="29">
        <v>1738</v>
      </c>
      <c r="H8" s="36">
        <f aca="true" t="shared" si="1" ref="H8:J29">E8-B8</f>
        <v>-2540</v>
      </c>
      <c r="I8" s="20">
        <f t="shared" si="1"/>
        <v>-1806.8999999999999</v>
      </c>
      <c r="J8" s="29">
        <f t="shared" si="1"/>
        <v>-1613.8000000000002</v>
      </c>
      <c r="K8" s="15">
        <f t="shared" si="0"/>
        <v>51.85473017798585</v>
      </c>
      <c r="L8" s="15">
        <f t="shared" si="0"/>
        <v>51.29255734965091</v>
      </c>
      <c r="M8" s="15">
        <f t="shared" si="0"/>
        <v>51.85273584342741</v>
      </c>
      <c r="N8" s="36">
        <f aca="true" t="shared" si="2" ref="N8:P27">E8/B8*100</f>
        <v>51.85473017798585</v>
      </c>
      <c r="O8" s="20">
        <f t="shared" si="2"/>
        <v>51.29255734965091</v>
      </c>
      <c r="P8" s="29">
        <f t="shared" si="2"/>
        <v>51.85273584342741</v>
      </c>
      <c r="Q8" s="43"/>
    </row>
    <row r="9" spans="1:17" ht="15.75" customHeight="1">
      <c r="A9" s="7" t="s">
        <v>1</v>
      </c>
      <c r="B9" s="36">
        <v>21178.8</v>
      </c>
      <c r="C9" s="20">
        <v>2150</v>
      </c>
      <c r="D9" s="29">
        <v>169.5</v>
      </c>
      <c r="E9" s="36">
        <v>9192.7</v>
      </c>
      <c r="F9" s="20">
        <v>955.5</v>
      </c>
      <c r="G9" s="29">
        <v>65.9</v>
      </c>
      <c r="H9" s="36">
        <f t="shared" si="1"/>
        <v>-11986.099999999999</v>
      </c>
      <c r="I9" s="20">
        <f t="shared" si="1"/>
        <v>-1194.5</v>
      </c>
      <c r="J9" s="29">
        <f t="shared" si="1"/>
        <v>-103.6</v>
      </c>
      <c r="K9" s="15">
        <f t="shared" si="0"/>
        <v>43.40519765048067</v>
      </c>
      <c r="L9" s="15">
        <f t="shared" si="0"/>
        <v>44.44186046511628</v>
      </c>
      <c r="M9" s="15">
        <f t="shared" si="0"/>
        <v>38.87905604719764</v>
      </c>
      <c r="N9" s="36">
        <f t="shared" si="2"/>
        <v>43.40519765048067</v>
      </c>
      <c r="O9" s="20">
        <f t="shared" si="2"/>
        <v>44.44186046511628</v>
      </c>
      <c r="P9" s="29">
        <f t="shared" si="2"/>
        <v>38.87905604719764</v>
      </c>
      <c r="Q9" s="43"/>
    </row>
    <row r="10" spans="1:17" ht="15" customHeight="1">
      <c r="A10" s="7" t="s">
        <v>2</v>
      </c>
      <c r="B10" s="36">
        <v>0</v>
      </c>
      <c r="C10" s="20">
        <v>190</v>
      </c>
      <c r="D10" s="29">
        <v>10</v>
      </c>
      <c r="E10" s="36">
        <v>0</v>
      </c>
      <c r="F10" s="20">
        <v>814.7</v>
      </c>
      <c r="G10" s="29">
        <v>15.9</v>
      </c>
      <c r="H10" s="36">
        <f t="shared" si="1"/>
        <v>0</v>
      </c>
      <c r="I10" s="20">
        <f t="shared" si="1"/>
        <v>624.7</v>
      </c>
      <c r="J10" s="29">
        <f t="shared" si="1"/>
        <v>5.9</v>
      </c>
      <c r="K10" s="15">
        <v>0</v>
      </c>
      <c r="L10" s="15">
        <f>F10/C10*100</f>
        <v>428.7894736842105</v>
      </c>
      <c r="M10" s="15">
        <f>G10/D10*100</f>
        <v>159</v>
      </c>
      <c r="N10" s="36">
        <v>0</v>
      </c>
      <c r="O10" s="20">
        <f t="shared" si="2"/>
        <v>428.7894736842105</v>
      </c>
      <c r="P10" s="29">
        <f t="shared" si="2"/>
        <v>159</v>
      </c>
      <c r="Q10" s="43"/>
    </row>
    <row r="11" spans="1:17" ht="24" customHeight="1">
      <c r="A11" s="7" t="s">
        <v>22</v>
      </c>
      <c r="B11" s="36">
        <v>595</v>
      </c>
      <c r="C11" s="20">
        <v>0</v>
      </c>
      <c r="D11" s="29">
        <v>0</v>
      </c>
      <c r="E11" s="36">
        <v>513.4</v>
      </c>
      <c r="F11" s="20">
        <v>0</v>
      </c>
      <c r="G11" s="29">
        <v>0</v>
      </c>
      <c r="H11" s="36">
        <f t="shared" si="1"/>
        <v>-81.60000000000002</v>
      </c>
      <c r="I11" s="20">
        <f t="shared" si="1"/>
        <v>0</v>
      </c>
      <c r="J11" s="29">
        <f t="shared" si="1"/>
        <v>0</v>
      </c>
      <c r="K11" s="15">
        <f>E11/B11*100</f>
        <v>86.28571428571428</v>
      </c>
      <c r="L11" s="15">
        <v>0</v>
      </c>
      <c r="M11" s="15">
        <v>0</v>
      </c>
      <c r="N11" s="36">
        <f t="shared" si="2"/>
        <v>86.28571428571428</v>
      </c>
      <c r="O11" s="20">
        <v>0</v>
      </c>
      <c r="P11" s="29">
        <v>0</v>
      </c>
      <c r="Q11" s="43"/>
    </row>
    <row r="12" spans="1:17" ht="14.25" customHeight="1">
      <c r="A12" s="57" t="s">
        <v>16</v>
      </c>
      <c r="B12" s="36">
        <v>0</v>
      </c>
      <c r="C12" s="20">
        <v>23223.4</v>
      </c>
      <c r="D12" s="29">
        <v>3200</v>
      </c>
      <c r="E12" s="36">
        <v>0</v>
      </c>
      <c r="F12" s="20">
        <v>3005.3</v>
      </c>
      <c r="G12" s="29">
        <v>333.8</v>
      </c>
      <c r="H12" s="36">
        <f t="shared" si="1"/>
        <v>0</v>
      </c>
      <c r="I12" s="20">
        <f t="shared" si="1"/>
        <v>-20218.100000000002</v>
      </c>
      <c r="J12" s="29">
        <f t="shared" si="1"/>
        <v>-2866.2</v>
      </c>
      <c r="K12" s="15">
        <v>0</v>
      </c>
      <c r="L12" s="15">
        <f aca="true" t="shared" si="3" ref="L12:M15">F12/C12*100</f>
        <v>12.94082692456746</v>
      </c>
      <c r="M12" s="15">
        <f t="shared" si="3"/>
        <v>10.43125</v>
      </c>
      <c r="N12" s="36">
        <v>0</v>
      </c>
      <c r="O12" s="20">
        <f t="shared" si="2"/>
        <v>12.94082692456746</v>
      </c>
      <c r="P12" s="29">
        <f t="shared" si="2"/>
        <v>10.43125</v>
      </c>
      <c r="Q12" s="43"/>
    </row>
    <row r="13" spans="1:17" ht="15" customHeight="1">
      <c r="A13" s="7" t="s">
        <v>18</v>
      </c>
      <c r="B13" s="36">
        <v>7336.8</v>
      </c>
      <c r="C13" s="20">
        <v>7800</v>
      </c>
      <c r="D13" s="29">
        <v>139.9</v>
      </c>
      <c r="E13" s="36">
        <v>3806.3</v>
      </c>
      <c r="F13" s="26">
        <v>3749.7</v>
      </c>
      <c r="G13" s="35">
        <v>56.7</v>
      </c>
      <c r="H13" s="36">
        <f t="shared" si="1"/>
        <v>-3530.5</v>
      </c>
      <c r="I13" s="20">
        <f t="shared" si="1"/>
        <v>-4050.3</v>
      </c>
      <c r="J13" s="29">
        <f t="shared" si="1"/>
        <v>-83.2</v>
      </c>
      <c r="K13" s="15">
        <f>E13/B13*100</f>
        <v>51.87956602333442</v>
      </c>
      <c r="L13" s="15">
        <f t="shared" si="3"/>
        <v>48.07307692307692</v>
      </c>
      <c r="M13" s="15">
        <f t="shared" si="3"/>
        <v>40.5289492494639</v>
      </c>
      <c r="N13" s="36">
        <f t="shared" si="2"/>
        <v>51.87956602333442</v>
      </c>
      <c r="O13" s="20">
        <f t="shared" si="2"/>
        <v>48.07307692307692</v>
      </c>
      <c r="P13" s="29">
        <f t="shared" si="2"/>
        <v>40.5289492494639</v>
      </c>
      <c r="Q13" s="43"/>
    </row>
    <row r="14" spans="1:17" ht="15" customHeight="1">
      <c r="A14" s="57" t="s">
        <v>19</v>
      </c>
      <c r="B14" s="36">
        <v>24387</v>
      </c>
      <c r="C14" s="20">
        <v>18500</v>
      </c>
      <c r="D14" s="29">
        <v>2650.7</v>
      </c>
      <c r="E14" s="36">
        <v>3915.2</v>
      </c>
      <c r="F14" s="20">
        <v>3182.3</v>
      </c>
      <c r="G14" s="35">
        <v>732.9</v>
      </c>
      <c r="H14" s="36">
        <f t="shared" si="1"/>
        <v>-20471.8</v>
      </c>
      <c r="I14" s="20">
        <f t="shared" si="1"/>
        <v>-15317.7</v>
      </c>
      <c r="J14" s="29">
        <f t="shared" si="1"/>
        <v>-1917.7999999999997</v>
      </c>
      <c r="K14" s="15">
        <f>E14/B14*100</f>
        <v>16.05445524254726</v>
      </c>
      <c r="L14" s="15">
        <f t="shared" si="3"/>
        <v>17.201621621621623</v>
      </c>
      <c r="M14" s="15">
        <f t="shared" si="3"/>
        <v>27.649300184856827</v>
      </c>
      <c r="N14" s="36">
        <f t="shared" si="2"/>
        <v>16.05445524254726</v>
      </c>
      <c r="O14" s="20">
        <f t="shared" si="2"/>
        <v>17.201621621621623</v>
      </c>
      <c r="P14" s="29">
        <f t="shared" si="2"/>
        <v>27.649300184856827</v>
      </c>
      <c r="Q14" s="43"/>
    </row>
    <row r="15" spans="1:17" ht="15.75" customHeight="1">
      <c r="A15" s="7" t="s">
        <v>8</v>
      </c>
      <c r="B15" s="36">
        <v>0</v>
      </c>
      <c r="C15" s="20">
        <v>54210</v>
      </c>
      <c r="D15" s="29">
        <v>14166.8</v>
      </c>
      <c r="E15" s="36">
        <v>0</v>
      </c>
      <c r="F15" s="20">
        <v>25103.2</v>
      </c>
      <c r="G15" s="29">
        <v>5101.9</v>
      </c>
      <c r="H15" s="36">
        <f t="shared" si="1"/>
        <v>0</v>
      </c>
      <c r="I15" s="20">
        <f t="shared" si="1"/>
        <v>-29106.8</v>
      </c>
      <c r="J15" s="29">
        <f t="shared" si="1"/>
        <v>-9064.9</v>
      </c>
      <c r="K15" s="15">
        <v>0</v>
      </c>
      <c r="L15" s="15">
        <f t="shared" si="3"/>
        <v>46.30732337207157</v>
      </c>
      <c r="M15" s="15">
        <f t="shared" si="3"/>
        <v>36.013072818138184</v>
      </c>
      <c r="N15" s="36">
        <v>0</v>
      </c>
      <c r="O15" s="20">
        <f t="shared" si="2"/>
        <v>46.30732337207157</v>
      </c>
      <c r="P15" s="29">
        <f t="shared" si="2"/>
        <v>36.013072818138184</v>
      </c>
      <c r="Q15" s="43"/>
    </row>
    <row r="16" spans="1:17" ht="15" customHeight="1">
      <c r="A16" s="7" t="s">
        <v>3</v>
      </c>
      <c r="B16" s="36">
        <v>8451.2</v>
      </c>
      <c r="C16" s="20">
        <v>0</v>
      </c>
      <c r="D16" s="29">
        <v>63.5</v>
      </c>
      <c r="E16" s="36">
        <v>4054</v>
      </c>
      <c r="F16" s="20">
        <v>0</v>
      </c>
      <c r="G16" s="29">
        <v>23.9</v>
      </c>
      <c r="H16" s="36">
        <f t="shared" si="1"/>
        <v>-4397.200000000001</v>
      </c>
      <c r="I16" s="20">
        <f t="shared" si="1"/>
        <v>0</v>
      </c>
      <c r="J16" s="29">
        <f t="shared" si="1"/>
        <v>-39.6</v>
      </c>
      <c r="K16" s="15">
        <f>E16/B16*100</f>
        <v>47.96951912154487</v>
      </c>
      <c r="L16" s="15">
        <v>0</v>
      </c>
      <c r="M16" s="15">
        <f>G16/D16*100</f>
        <v>37.63779527559055</v>
      </c>
      <c r="N16" s="36">
        <f t="shared" si="2"/>
        <v>47.96951912154487</v>
      </c>
      <c r="O16" s="20">
        <v>0</v>
      </c>
      <c r="P16" s="29">
        <f t="shared" si="2"/>
        <v>37.63779527559055</v>
      </c>
      <c r="Q16" s="43"/>
    </row>
    <row r="17" spans="1:17" ht="15" customHeight="1">
      <c r="A17" s="59" t="s">
        <v>33</v>
      </c>
      <c r="B17" s="36">
        <v>0</v>
      </c>
      <c r="C17" s="20">
        <v>0</v>
      </c>
      <c r="D17" s="29">
        <v>0</v>
      </c>
      <c r="E17" s="36">
        <v>0</v>
      </c>
      <c r="F17" s="20">
        <v>0</v>
      </c>
      <c r="G17" s="29">
        <v>0</v>
      </c>
      <c r="H17" s="36">
        <f t="shared" si="1"/>
        <v>0</v>
      </c>
      <c r="I17" s="20">
        <f t="shared" si="1"/>
        <v>0</v>
      </c>
      <c r="J17" s="29">
        <f t="shared" si="1"/>
        <v>0</v>
      </c>
      <c r="K17" s="15">
        <v>0</v>
      </c>
      <c r="L17" s="15">
        <v>0</v>
      </c>
      <c r="M17" s="15">
        <v>0</v>
      </c>
      <c r="N17" s="36">
        <v>0</v>
      </c>
      <c r="O17" s="20">
        <v>0</v>
      </c>
      <c r="P17" s="29">
        <v>0</v>
      </c>
      <c r="Q17" s="43"/>
    </row>
    <row r="18" spans="1:17" ht="16.5" customHeight="1">
      <c r="A18" s="59" t="s">
        <v>13</v>
      </c>
      <c r="B18" s="36">
        <v>47768</v>
      </c>
      <c r="C18" s="20">
        <f>14600+454</f>
        <v>15054</v>
      </c>
      <c r="D18" s="29">
        <v>0</v>
      </c>
      <c r="E18" s="36">
        <v>23551.5</v>
      </c>
      <c r="F18" s="20">
        <f>9425.6+343.2</f>
        <v>9768.800000000001</v>
      </c>
      <c r="G18" s="29">
        <v>0</v>
      </c>
      <c r="H18" s="36">
        <f t="shared" si="1"/>
        <v>-24216.5</v>
      </c>
      <c r="I18" s="20">
        <f t="shared" si="1"/>
        <v>-5285.199999999999</v>
      </c>
      <c r="J18" s="29">
        <f t="shared" si="1"/>
        <v>0</v>
      </c>
      <c r="K18" s="15">
        <f aca="true" t="shared" si="4" ref="K18:L27">E18/B18*100</f>
        <v>49.30392731535756</v>
      </c>
      <c r="L18" s="15">
        <f t="shared" si="4"/>
        <v>64.8917231300651</v>
      </c>
      <c r="M18" s="15">
        <v>0</v>
      </c>
      <c r="N18" s="36">
        <f t="shared" si="2"/>
        <v>49.30392731535756</v>
      </c>
      <c r="O18" s="20">
        <f t="shared" si="2"/>
        <v>64.8917231300651</v>
      </c>
      <c r="P18" s="29">
        <v>0</v>
      </c>
      <c r="Q18" s="43"/>
    </row>
    <row r="19" spans="1:17" ht="15" customHeight="1">
      <c r="A19" s="57" t="s">
        <v>4</v>
      </c>
      <c r="B19" s="36">
        <v>4500</v>
      </c>
      <c r="C19" s="20">
        <v>2782</v>
      </c>
      <c r="D19" s="29">
        <v>531.8</v>
      </c>
      <c r="E19" s="36">
        <v>2389.6</v>
      </c>
      <c r="F19" s="20">
        <v>1341.5</v>
      </c>
      <c r="G19" s="29">
        <v>190.8</v>
      </c>
      <c r="H19" s="36">
        <f t="shared" si="1"/>
        <v>-2110.4</v>
      </c>
      <c r="I19" s="20">
        <f t="shared" si="1"/>
        <v>-1440.5</v>
      </c>
      <c r="J19" s="29">
        <f t="shared" si="1"/>
        <v>-340.99999999999994</v>
      </c>
      <c r="K19" s="15">
        <f t="shared" si="4"/>
        <v>53.10222222222222</v>
      </c>
      <c r="L19" s="15">
        <f t="shared" si="4"/>
        <v>48.22070452911574</v>
      </c>
      <c r="M19" s="15">
        <f>G19/D19*100</f>
        <v>35.87814968033096</v>
      </c>
      <c r="N19" s="36">
        <f t="shared" si="2"/>
        <v>53.10222222222222</v>
      </c>
      <c r="O19" s="20">
        <f t="shared" si="2"/>
        <v>48.22070452911574</v>
      </c>
      <c r="P19" s="29">
        <f t="shared" si="2"/>
        <v>35.87814968033096</v>
      </c>
      <c r="Q19" s="43"/>
    </row>
    <row r="20" spans="1:17" ht="27" customHeight="1">
      <c r="A20" s="59" t="s">
        <v>24</v>
      </c>
      <c r="B20" s="36">
        <f>667+101.6</f>
        <v>768.6</v>
      </c>
      <c r="C20" s="20">
        <f>235.8+2944.5</f>
        <v>3180.3</v>
      </c>
      <c r="D20" s="29">
        <v>15</v>
      </c>
      <c r="E20" s="36">
        <f>333.2+61.2</f>
        <v>394.4</v>
      </c>
      <c r="F20" s="20">
        <f>75.4+1226.9</f>
        <v>1302.3000000000002</v>
      </c>
      <c r="G20" s="29">
        <v>15</v>
      </c>
      <c r="H20" s="36">
        <f t="shared" si="1"/>
        <v>-374.20000000000005</v>
      </c>
      <c r="I20" s="20">
        <f t="shared" si="1"/>
        <v>-1878</v>
      </c>
      <c r="J20" s="29">
        <f t="shared" si="1"/>
        <v>0</v>
      </c>
      <c r="K20" s="15">
        <f t="shared" si="4"/>
        <v>51.31407754358573</v>
      </c>
      <c r="L20" s="15">
        <f t="shared" si="4"/>
        <v>40.948967078577496</v>
      </c>
      <c r="M20" s="15">
        <v>0</v>
      </c>
      <c r="N20" s="36">
        <f t="shared" si="2"/>
        <v>51.31407754358573</v>
      </c>
      <c r="O20" s="20">
        <f t="shared" si="2"/>
        <v>40.948967078577496</v>
      </c>
      <c r="P20" s="29">
        <v>0</v>
      </c>
      <c r="Q20" s="43"/>
    </row>
    <row r="21" spans="1:17" ht="16.5" customHeight="1">
      <c r="A21" s="57" t="s">
        <v>5</v>
      </c>
      <c r="B21" s="36">
        <v>6866</v>
      </c>
      <c r="C21" s="20">
        <v>0</v>
      </c>
      <c r="D21" s="29">
        <v>0</v>
      </c>
      <c r="E21" s="36">
        <v>2188.2</v>
      </c>
      <c r="F21" s="20">
        <v>0</v>
      </c>
      <c r="G21" s="29">
        <v>0</v>
      </c>
      <c r="H21" s="36">
        <f t="shared" si="1"/>
        <v>-4677.8</v>
      </c>
      <c r="I21" s="20">
        <f t="shared" si="1"/>
        <v>0</v>
      </c>
      <c r="J21" s="29">
        <f t="shared" si="1"/>
        <v>0</v>
      </c>
      <c r="K21" s="15">
        <f t="shared" si="4"/>
        <v>31.870084474220796</v>
      </c>
      <c r="L21" s="15">
        <v>0</v>
      </c>
      <c r="M21" s="15">
        <v>0</v>
      </c>
      <c r="N21" s="36">
        <f t="shared" si="2"/>
        <v>31.870084474220796</v>
      </c>
      <c r="O21" s="20">
        <v>0</v>
      </c>
      <c r="P21" s="29">
        <v>0</v>
      </c>
      <c r="Q21" s="43"/>
    </row>
    <row r="22" spans="1:17" ht="15.75" customHeight="1">
      <c r="A22" s="57" t="s">
        <v>20</v>
      </c>
      <c r="B22" s="36">
        <v>2998</v>
      </c>
      <c r="C22" s="20">
        <v>100</v>
      </c>
      <c r="D22" s="29">
        <v>0</v>
      </c>
      <c r="E22" s="36">
        <v>750.7</v>
      </c>
      <c r="F22" s="20">
        <v>246.1</v>
      </c>
      <c r="G22" s="29">
        <v>9.3</v>
      </c>
      <c r="H22" s="36">
        <f t="shared" si="1"/>
        <v>-2247.3</v>
      </c>
      <c r="I22" s="20">
        <f t="shared" si="1"/>
        <v>146.1</v>
      </c>
      <c r="J22" s="29">
        <f t="shared" si="1"/>
        <v>9.3</v>
      </c>
      <c r="K22" s="15">
        <f t="shared" si="4"/>
        <v>25.040026684456308</v>
      </c>
      <c r="L22" s="15">
        <f>F22/C22*100</f>
        <v>246.1</v>
      </c>
      <c r="M22" s="15">
        <v>0</v>
      </c>
      <c r="N22" s="36">
        <f t="shared" si="2"/>
        <v>25.040026684456308</v>
      </c>
      <c r="O22" s="20">
        <f t="shared" si="2"/>
        <v>246.1</v>
      </c>
      <c r="P22" s="29">
        <v>0</v>
      </c>
      <c r="Q22" s="43"/>
    </row>
    <row r="23" spans="1:17" ht="15" customHeight="1">
      <c r="A23" s="57" t="s">
        <v>6</v>
      </c>
      <c r="B23" s="36">
        <v>103.5</v>
      </c>
      <c r="C23" s="20">
        <v>0</v>
      </c>
      <c r="D23" s="29">
        <v>0</v>
      </c>
      <c r="E23" s="36">
        <v>96.9</v>
      </c>
      <c r="F23" s="20">
        <v>0</v>
      </c>
      <c r="G23" s="29">
        <v>0</v>
      </c>
      <c r="H23" s="36">
        <f t="shared" si="1"/>
        <v>-6.599999999999994</v>
      </c>
      <c r="I23" s="20">
        <f t="shared" si="1"/>
        <v>0</v>
      </c>
      <c r="J23" s="29">
        <f t="shared" si="1"/>
        <v>0</v>
      </c>
      <c r="K23" s="15">
        <f t="shared" si="4"/>
        <v>93.62318840579711</v>
      </c>
      <c r="L23" s="15" t="e">
        <f>F23/C23*100</f>
        <v>#DIV/0!</v>
      </c>
      <c r="M23" s="15">
        <v>0</v>
      </c>
      <c r="N23" s="36">
        <f t="shared" si="2"/>
        <v>93.62318840579711</v>
      </c>
      <c r="O23" s="20">
        <v>0</v>
      </c>
      <c r="P23" s="29">
        <v>0</v>
      </c>
      <c r="Q23" s="43"/>
    </row>
    <row r="24" spans="1:17" ht="15.75" customHeight="1">
      <c r="A24" s="57" t="s">
        <v>29</v>
      </c>
      <c r="B24" s="36">
        <v>1594</v>
      </c>
      <c r="C24" s="20">
        <v>7298.7</v>
      </c>
      <c r="D24" s="29">
        <v>2197.4</v>
      </c>
      <c r="E24" s="36">
        <v>0</v>
      </c>
      <c r="F24" s="20">
        <v>882</v>
      </c>
      <c r="G24" s="29">
        <v>25.5</v>
      </c>
      <c r="H24" s="36">
        <f t="shared" si="1"/>
        <v>-1594</v>
      </c>
      <c r="I24" s="20">
        <f t="shared" si="1"/>
        <v>-6416.7</v>
      </c>
      <c r="J24" s="29">
        <f t="shared" si="1"/>
        <v>-2171.9</v>
      </c>
      <c r="K24" s="15">
        <f t="shared" si="4"/>
        <v>0</v>
      </c>
      <c r="L24" s="15">
        <f>F24/C24*100</f>
        <v>12.084343787249786</v>
      </c>
      <c r="M24" s="15">
        <f>G24/D24*100</f>
        <v>1.1604623646127241</v>
      </c>
      <c r="N24" s="36">
        <v>0</v>
      </c>
      <c r="O24" s="20">
        <f t="shared" si="2"/>
        <v>12.084343787249786</v>
      </c>
      <c r="P24" s="29">
        <f t="shared" si="2"/>
        <v>1.1604623646127241</v>
      </c>
      <c r="Q24" s="43"/>
    </row>
    <row r="25" spans="1:17" ht="27" customHeight="1">
      <c r="A25" s="57" t="s">
        <v>17</v>
      </c>
      <c r="B25" s="36">
        <f>4817.3+330</f>
        <v>5147.3</v>
      </c>
      <c r="C25" s="20">
        <f>7618.8+385</f>
        <v>8003.8</v>
      </c>
      <c r="D25" s="29">
        <v>60.3</v>
      </c>
      <c r="E25" s="36">
        <f>4960.2+163.3</f>
        <v>5123.5</v>
      </c>
      <c r="F25" s="20">
        <f>5102+62.2</f>
        <v>5164.2</v>
      </c>
      <c r="G25" s="29">
        <v>-147.6</v>
      </c>
      <c r="H25" s="36">
        <f t="shared" si="1"/>
        <v>-23.800000000000182</v>
      </c>
      <c r="I25" s="20">
        <f t="shared" si="1"/>
        <v>-2839.6000000000004</v>
      </c>
      <c r="J25" s="29">
        <f t="shared" si="1"/>
        <v>-207.89999999999998</v>
      </c>
      <c r="K25" s="15">
        <f t="shared" si="4"/>
        <v>99.53762166572766</v>
      </c>
      <c r="L25" s="15">
        <f>F25/C25*100</f>
        <v>64.52185212024288</v>
      </c>
      <c r="M25" s="15">
        <v>0</v>
      </c>
      <c r="N25" s="36">
        <f t="shared" si="2"/>
        <v>99.53762166572766</v>
      </c>
      <c r="O25" s="20">
        <f t="shared" si="2"/>
        <v>64.52185212024288</v>
      </c>
      <c r="P25" s="29">
        <v>0</v>
      </c>
      <c r="Q25" s="43"/>
    </row>
    <row r="26" spans="1:17" ht="16.5" customHeight="1">
      <c r="A26" s="7" t="s">
        <v>7</v>
      </c>
      <c r="B26" s="36">
        <v>9956.8</v>
      </c>
      <c r="C26" s="20">
        <v>297.2</v>
      </c>
      <c r="D26" s="29">
        <v>50.9</v>
      </c>
      <c r="E26" s="48">
        <v>7022.5</v>
      </c>
      <c r="F26" s="26">
        <v>537.2</v>
      </c>
      <c r="G26" s="35">
        <v>123.2</v>
      </c>
      <c r="H26" s="36">
        <f t="shared" si="1"/>
        <v>-2934.2999999999993</v>
      </c>
      <c r="I26" s="20">
        <f t="shared" si="1"/>
        <v>240.00000000000006</v>
      </c>
      <c r="J26" s="29">
        <f t="shared" si="1"/>
        <v>72.30000000000001</v>
      </c>
      <c r="K26" s="15">
        <f t="shared" si="4"/>
        <v>70.52968825325406</v>
      </c>
      <c r="L26" s="15">
        <f>F26/C26*100</f>
        <v>180.75370121130555</v>
      </c>
      <c r="M26" s="15">
        <f>G26/D26*100</f>
        <v>242.0432220039293</v>
      </c>
      <c r="N26" s="36">
        <f t="shared" si="2"/>
        <v>70.52968825325406</v>
      </c>
      <c r="O26" s="20">
        <f t="shared" si="2"/>
        <v>180.75370121130555</v>
      </c>
      <c r="P26" s="29">
        <f t="shared" si="2"/>
        <v>242.0432220039293</v>
      </c>
      <c r="Q26" s="43"/>
    </row>
    <row r="27" spans="1:17" ht="14.25" customHeight="1">
      <c r="A27" s="7" t="s">
        <v>9</v>
      </c>
      <c r="B27" s="36">
        <v>135.5</v>
      </c>
      <c r="C27" s="20">
        <v>0</v>
      </c>
      <c r="D27" s="29">
        <v>49.6</v>
      </c>
      <c r="E27" s="36">
        <v>71.3</v>
      </c>
      <c r="F27" s="20">
        <v>57.4</v>
      </c>
      <c r="G27" s="29">
        <f>33.5+142.2</f>
        <v>175.7</v>
      </c>
      <c r="H27" s="36">
        <f t="shared" si="1"/>
        <v>-64.2</v>
      </c>
      <c r="I27" s="20">
        <f t="shared" si="1"/>
        <v>57.4</v>
      </c>
      <c r="J27" s="29">
        <f t="shared" si="1"/>
        <v>126.1</v>
      </c>
      <c r="K27" s="15">
        <f t="shared" si="4"/>
        <v>52.61992619926199</v>
      </c>
      <c r="L27" s="15">
        <v>0</v>
      </c>
      <c r="M27" s="15">
        <v>0</v>
      </c>
      <c r="N27" s="36">
        <f t="shared" si="2"/>
        <v>52.61992619926199</v>
      </c>
      <c r="O27" s="20">
        <v>0</v>
      </c>
      <c r="P27" s="29">
        <f t="shared" si="2"/>
        <v>354.2338709677419</v>
      </c>
      <c r="Q27" s="43"/>
    </row>
    <row r="28" spans="1:17" ht="16.5" customHeight="1" thickBot="1">
      <c r="A28" s="8" t="s">
        <v>10</v>
      </c>
      <c r="B28" s="37">
        <v>0</v>
      </c>
      <c r="C28" s="21">
        <v>0</v>
      </c>
      <c r="D28" s="30">
        <v>0</v>
      </c>
      <c r="E28" s="37">
        <v>-19</v>
      </c>
      <c r="F28" s="25">
        <v>0</v>
      </c>
      <c r="G28" s="34">
        <v>13.8</v>
      </c>
      <c r="H28" s="37">
        <f t="shared" si="1"/>
        <v>-19</v>
      </c>
      <c r="I28" s="21">
        <f t="shared" si="1"/>
        <v>0</v>
      </c>
      <c r="J28" s="30">
        <f t="shared" si="1"/>
        <v>13.8</v>
      </c>
      <c r="K28" s="16">
        <v>0</v>
      </c>
      <c r="L28" s="16">
        <v>0</v>
      </c>
      <c r="M28" s="16">
        <v>0</v>
      </c>
      <c r="N28" s="36">
        <v>0</v>
      </c>
      <c r="O28" s="20">
        <v>0</v>
      </c>
      <c r="P28" s="29">
        <v>0</v>
      </c>
      <c r="Q28" s="43"/>
    </row>
    <row r="29" spans="1:17" ht="15" customHeight="1" thickBot="1">
      <c r="A29" s="9" t="s">
        <v>14</v>
      </c>
      <c r="B29" s="38">
        <f>B7+B8+B9+B10+B11+B13+B12+B14+B15+B16+B17+B18+B19+B20+B21+B22+B23+B24+B25+B26+B27+B28</f>
        <v>388720.8</v>
      </c>
      <c r="C29" s="22">
        <f>SUM(C7:C28)</f>
        <v>226879.2</v>
      </c>
      <c r="D29" s="31">
        <f>SUM(D7:D28)</f>
        <v>36162.600000000006</v>
      </c>
      <c r="E29" s="38">
        <f>SUM(E7:E28)</f>
        <v>171575.19999999998</v>
      </c>
      <c r="F29" s="27">
        <f>SUM(F7:F28)</f>
        <v>93106.8</v>
      </c>
      <c r="G29" s="31">
        <f>SUM(G7:G28)</f>
        <v>12297.999999999996</v>
      </c>
      <c r="H29" s="51">
        <f t="shared" si="1"/>
        <v>-217145.6</v>
      </c>
      <c r="I29" s="52">
        <f t="shared" si="1"/>
        <v>-133772.40000000002</v>
      </c>
      <c r="J29" s="53">
        <f t="shared" si="1"/>
        <v>-23864.60000000001</v>
      </c>
      <c r="K29" s="44">
        <f aca="true" t="shared" si="5" ref="K29:M32">E29/B29*100</f>
        <v>44.13841502692935</v>
      </c>
      <c r="L29" s="44">
        <f t="shared" si="5"/>
        <v>41.03805020469042</v>
      </c>
      <c r="M29" s="18">
        <f t="shared" si="5"/>
        <v>34.00751052192042</v>
      </c>
      <c r="N29" s="49">
        <f aca="true" t="shared" si="6" ref="N29:P35">E29/B29*100</f>
        <v>44.13841502692935</v>
      </c>
      <c r="O29" s="52">
        <f t="shared" si="6"/>
        <v>41.03805020469042</v>
      </c>
      <c r="P29" s="55">
        <f t="shared" si="6"/>
        <v>34.00751052192042</v>
      </c>
      <c r="Q29" s="43"/>
    </row>
    <row r="30" spans="1:17" ht="26.25" customHeight="1">
      <c r="A30" s="10" t="s">
        <v>21</v>
      </c>
      <c r="B30" s="39">
        <v>153075.8</v>
      </c>
      <c r="C30" s="23">
        <v>14436.5</v>
      </c>
      <c r="D30" s="32">
        <v>24546.5</v>
      </c>
      <c r="E30" s="39">
        <v>76538</v>
      </c>
      <c r="F30" s="23">
        <v>7218.5</v>
      </c>
      <c r="G30" s="32">
        <v>11485.9</v>
      </c>
      <c r="H30" s="39">
        <f aca="true" t="shared" si="7" ref="H30:J35">E30-B30</f>
        <v>-76537.79999999999</v>
      </c>
      <c r="I30" s="23">
        <f t="shared" si="7"/>
        <v>-7218</v>
      </c>
      <c r="J30" s="32">
        <f t="shared" si="7"/>
        <v>-13060.6</v>
      </c>
      <c r="K30" s="17">
        <f t="shared" si="5"/>
        <v>50.00006532711245</v>
      </c>
      <c r="L30" s="17">
        <f t="shared" si="5"/>
        <v>50.001731721677686</v>
      </c>
      <c r="M30" s="17">
        <f t="shared" si="5"/>
        <v>46.79241439716456</v>
      </c>
      <c r="N30" s="39">
        <f t="shared" si="6"/>
        <v>50.00006532711245</v>
      </c>
      <c r="O30" s="23">
        <f t="shared" si="6"/>
        <v>50.001731721677686</v>
      </c>
      <c r="P30" s="32">
        <f t="shared" si="6"/>
        <v>46.79241439716456</v>
      </c>
      <c r="Q30" s="43"/>
    </row>
    <row r="31" spans="1:17" ht="27.75" customHeight="1">
      <c r="A31" s="11" t="s">
        <v>32</v>
      </c>
      <c r="B31" s="36">
        <f>199827.8+608054+88985</f>
        <v>896866.8</v>
      </c>
      <c r="C31" s="20">
        <f>17977.1+1818+11539.9</f>
        <v>31335</v>
      </c>
      <c r="D31" s="29">
        <f>4504.5+787.6+16810.5</f>
        <v>22102.6</v>
      </c>
      <c r="E31" s="36">
        <f>118777.4+378512.7+7321.5</f>
        <v>504611.6</v>
      </c>
      <c r="F31" s="20">
        <f>4332.3+967.7+703.8</f>
        <v>6003.8</v>
      </c>
      <c r="G31" s="29">
        <f>2621.6+391.2+5221.3</f>
        <v>8234.1</v>
      </c>
      <c r="H31" s="36">
        <f t="shared" si="7"/>
        <v>-392255.20000000007</v>
      </c>
      <c r="I31" s="23">
        <f t="shared" si="7"/>
        <v>-25331.2</v>
      </c>
      <c r="J31" s="32">
        <f t="shared" si="7"/>
        <v>-13868.499999999998</v>
      </c>
      <c r="K31" s="17">
        <f t="shared" si="5"/>
        <v>56.26382869786237</v>
      </c>
      <c r="L31" s="15">
        <f t="shared" si="5"/>
        <v>19.16004467847455</v>
      </c>
      <c r="M31" s="15">
        <f t="shared" si="5"/>
        <v>37.25398821858062</v>
      </c>
      <c r="N31" s="36">
        <f t="shared" si="6"/>
        <v>56.26382869786237</v>
      </c>
      <c r="O31" s="20">
        <f t="shared" si="6"/>
        <v>19.16004467847455</v>
      </c>
      <c r="P31" s="29">
        <f t="shared" si="6"/>
        <v>37.25398821858062</v>
      </c>
      <c r="Q31" s="43"/>
    </row>
    <row r="32" spans="1:17" ht="18" customHeight="1" thickBot="1">
      <c r="A32" s="12" t="s">
        <v>11</v>
      </c>
      <c r="B32" s="37">
        <v>183.2</v>
      </c>
      <c r="C32" s="21">
        <v>157</v>
      </c>
      <c r="D32" s="30">
        <v>653.6</v>
      </c>
      <c r="E32" s="37">
        <v>183.2</v>
      </c>
      <c r="F32" s="21">
        <v>157</v>
      </c>
      <c r="G32" s="30">
        <v>703.6</v>
      </c>
      <c r="H32" s="37">
        <f t="shared" si="7"/>
        <v>0</v>
      </c>
      <c r="I32" s="25">
        <f t="shared" si="7"/>
        <v>0</v>
      </c>
      <c r="J32" s="34">
        <f t="shared" si="7"/>
        <v>50</v>
      </c>
      <c r="K32" s="19">
        <f t="shared" si="5"/>
        <v>100</v>
      </c>
      <c r="L32" s="16">
        <v>0</v>
      </c>
      <c r="M32" s="16">
        <f t="shared" si="5"/>
        <v>107.6499388004896</v>
      </c>
      <c r="N32" s="36">
        <f t="shared" si="6"/>
        <v>100</v>
      </c>
      <c r="O32" s="20">
        <f t="shared" si="6"/>
        <v>100</v>
      </c>
      <c r="P32" s="29">
        <f t="shared" si="6"/>
        <v>107.6499388004896</v>
      </c>
      <c r="Q32" s="43"/>
    </row>
    <row r="33" spans="1:17" ht="14.25" customHeight="1" thickBot="1">
      <c r="A33" s="13" t="s">
        <v>31</v>
      </c>
      <c r="B33" s="40">
        <f aca="true" t="shared" si="8" ref="B33:G33">SUM(B30:B32)</f>
        <v>1050125.8</v>
      </c>
      <c r="C33" s="24">
        <f t="shared" si="8"/>
        <v>45928.5</v>
      </c>
      <c r="D33" s="33">
        <f t="shared" si="8"/>
        <v>47302.7</v>
      </c>
      <c r="E33" s="40">
        <f t="shared" si="8"/>
        <v>581332.7999999999</v>
      </c>
      <c r="F33" s="24">
        <f t="shared" si="8"/>
        <v>13379.3</v>
      </c>
      <c r="G33" s="33">
        <f t="shared" si="8"/>
        <v>20423.6</v>
      </c>
      <c r="H33" s="51">
        <f t="shared" si="7"/>
        <v>-468793.0000000001</v>
      </c>
      <c r="I33" s="52">
        <f t="shared" si="7"/>
        <v>-32549.2</v>
      </c>
      <c r="J33" s="53">
        <f t="shared" si="7"/>
        <v>-26879.1</v>
      </c>
      <c r="K33" s="56">
        <f>E33/B33*100</f>
        <v>55.35839610835196</v>
      </c>
      <c r="L33" s="18">
        <f>F33/C33*100</f>
        <v>29.130714044656365</v>
      </c>
      <c r="M33" s="18">
        <f>G33/D33*100</f>
        <v>43.17639373650975</v>
      </c>
      <c r="N33" s="49">
        <f t="shared" si="6"/>
        <v>55.35839610835196</v>
      </c>
      <c r="O33" s="52">
        <f t="shared" si="6"/>
        <v>29.130714044656365</v>
      </c>
      <c r="P33" s="55">
        <f t="shared" si="6"/>
        <v>43.17639373650975</v>
      </c>
      <c r="Q33" s="43"/>
    </row>
    <row r="34" spans="1:17" ht="27" customHeight="1" thickBot="1">
      <c r="A34" s="14" t="s">
        <v>30</v>
      </c>
      <c r="B34" s="41">
        <v>478.9</v>
      </c>
      <c r="C34" s="25">
        <v>6317.5</v>
      </c>
      <c r="D34" s="34">
        <v>81.6</v>
      </c>
      <c r="E34" s="41">
        <f>1667-4907.7</f>
        <v>-3240.7</v>
      </c>
      <c r="F34" s="25">
        <f>6333.9-1963.3</f>
        <v>4370.599999999999</v>
      </c>
      <c r="G34" s="34">
        <f>94.3-69.5</f>
        <v>24.799999999999997</v>
      </c>
      <c r="H34" s="41">
        <f t="shared" si="7"/>
        <v>-3719.6</v>
      </c>
      <c r="I34" s="25">
        <f t="shared" si="7"/>
        <v>-1946.9000000000005</v>
      </c>
      <c r="J34" s="34">
        <f t="shared" si="7"/>
        <v>-56.8</v>
      </c>
      <c r="K34" s="45">
        <v>0</v>
      </c>
      <c r="L34" s="46">
        <v>0</v>
      </c>
      <c r="M34" s="47">
        <v>0</v>
      </c>
      <c r="N34" s="41">
        <v>0</v>
      </c>
      <c r="O34" s="25">
        <v>0</v>
      </c>
      <c r="P34" s="54">
        <v>0</v>
      </c>
      <c r="Q34" s="43"/>
    </row>
    <row r="35" spans="1:17" ht="15" customHeight="1" thickBot="1">
      <c r="A35" s="6" t="s">
        <v>15</v>
      </c>
      <c r="B35" s="40">
        <f aca="true" t="shared" si="9" ref="B35:G35">B29+B33+B34</f>
        <v>1439325.5</v>
      </c>
      <c r="C35" s="24">
        <f t="shared" si="9"/>
        <v>279125.2</v>
      </c>
      <c r="D35" s="33">
        <f t="shared" si="9"/>
        <v>83546.90000000001</v>
      </c>
      <c r="E35" s="49">
        <f t="shared" si="9"/>
        <v>749667.2999999999</v>
      </c>
      <c r="F35" s="28">
        <f t="shared" si="9"/>
        <v>110856.70000000001</v>
      </c>
      <c r="G35" s="42">
        <f t="shared" si="9"/>
        <v>32746.399999999994</v>
      </c>
      <c r="H35" s="51">
        <f t="shared" si="7"/>
        <v>-689658.2000000001</v>
      </c>
      <c r="I35" s="52">
        <f t="shared" si="7"/>
        <v>-168268.5</v>
      </c>
      <c r="J35" s="53">
        <f t="shared" si="7"/>
        <v>-50800.500000000015</v>
      </c>
      <c r="K35" s="44">
        <f>E35/B35*100</f>
        <v>52.0846257500475</v>
      </c>
      <c r="L35" s="44">
        <f>F35/C35*100</f>
        <v>39.71576195914952</v>
      </c>
      <c r="M35" s="18">
        <f>G35/D35*100</f>
        <v>39.19523046336847</v>
      </c>
      <c r="N35" s="49">
        <f t="shared" si="6"/>
        <v>52.0846257500475</v>
      </c>
      <c r="O35" s="52">
        <f t="shared" si="6"/>
        <v>39.71576195914952</v>
      </c>
      <c r="P35" s="55">
        <f t="shared" si="6"/>
        <v>39.19523046336847</v>
      </c>
      <c r="Q35" s="43"/>
    </row>
    <row r="36" spans="8:17" ht="12.75">
      <c r="H36" s="43"/>
      <c r="I36" s="43"/>
      <c r="J36" s="43"/>
      <c r="Q36" s="43"/>
    </row>
    <row r="37" spans="1:16" ht="12.75">
      <c r="A37" t="s">
        <v>44</v>
      </c>
      <c r="B37" s="58"/>
      <c r="C37" s="58"/>
      <c r="D37" s="5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2:8" ht="12.75">
      <c r="B38" s="43"/>
      <c r="C38" s="43"/>
      <c r="D38" s="43"/>
      <c r="E38" s="43"/>
      <c r="F38" s="43"/>
      <c r="G38" s="43"/>
      <c r="H38" s="43"/>
    </row>
    <row r="39" ht="12.75">
      <c r="E39" s="50"/>
    </row>
    <row r="41" spans="6:8" ht="12.75">
      <c r="F41" s="43"/>
      <c r="H41" s="43"/>
    </row>
  </sheetData>
  <sheetProtection/>
  <mergeCells count="6">
    <mergeCell ref="A2:P2"/>
    <mergeCell ref="B4:D4"/>
    <mergeCell ref="E4:G4"/>
    <mergeCell ref="H4:J4"/>
    <mergeCell ref="K4:M4"/>
    <mergeCell ref="N4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2.75390625" style="0" customWidth="1"/>
    <col min="2" max="2" width="11.125" style="0" customWidth="1"/>
    <col min="3" max="4" width="9.875" style="0" customWidth="1"/>
    <col min="5" max="5" width="10.625" style="0" customWidth="1"/>
    <col min="6" max="6" width="10.00390625" style="0" customWidth="1"/>
    <col min="7" max="7" width="10.125" style="0" customWidth="1"/>
    <col min="8" max="8" width="11.375" style="0" customWidth="1"/>
    <col min="9" max="9" width="10.625" style="0" customWidth="1"/>
    <col min="10" max="10" width="10.125" style="0" customWidth="1"/>
    <col min="11" max="12" width="9.25390625" style="0" hidden="1" customWidth="1"/>
    <col min="13" max="13" width="0.6171875" style="0" hidden="1" customWidth="1"/>
    <col min="14" max="14" width="10.75390625" style="0" customWidth="1"/>
    <col min="15" max="15" width="10.25390625" style="0" customWidth="1"/>
    <col min="16" max="16" width="9.75390625" style="0" customWidth="1"/>
    <col min="17" max="17" width="11.625" style="0" customWidth="1"/>
  </cols>
  <sheetData>
    <row r="2" spans="1:16" ht="18.75" customHeight="1">
      <c r="A2" s="62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4" spans="1:16" ht="15.75">
      <c r="A4" s="2" t="s">
        <v>12</v>
      </c>
      <c r="B4" s="64" t="s">
        <v>38</v>
      </c>
      <c r="C4" s="65"/>
      <c r="D4" s="66"/>
      <c r="E4" s="64" t="s">
        <v>34</v>
      </c>
      <c r="F4" s="65"/>
      <c r="G4" s="66"/>
      <c r="H4" s="64" t="s">
        <v>35</v>
      </c>
      <c r="I4" s="65"/>
      <c r="J4" s="66"/>
      <c r="K4" s="64" t="s">
        <v>27</v>
      </c>
      <c r="L4" s="65"/>
      <c r="M4" s="66"/>
      <c r="N4" s="64" t="s">
        <v>27</v>
      </c>
      <c r="O4" s="65"/>
      <c r="P4" s="66"/>
    </row>
    <row r="5" spans="1:16" ht="29.25" customHeight="1">
      <c r="A5" s="3"/>
      <c r="B5" s="1" t="s">
        <v>25</v>
      </c>
      <c r="C5" s="1" t="s">
        <v>26</v>
      </c>
      <c r="D5" s="5" t="s">
        <v>28</v>
      </c>
      <c r="E5" s="1" t="s">
        <v>25</v>
      </c>
      <c r="F5" s="1" t="s">
        <v>26</v>
      </c>
      <c r="G5" s="1" t="s">
        <v>28</v>
      </c>
      <c r="H5" s="1" t="s">
        <v>25</v>
      </c>
      <c r="I5" s="1" t="s">
        <v>26</v>
      </c>
      <c r="J5" s="1" t="s">
        <v>28</v>
      </c>
      <c r="K5" s="1" t="s">
        <v>25</v>
      </c>
      <c r="L5" s="1" t="s">
        <v>26</v>
      </c>
      <c r="M5" s="1" t="s">
        <v>28</v>
      </c>
      <c r="N5" s="1" t="s">
        <v>25</v>
      </c>
      <c r="O5" s="1" t="s">
        <v>26</v>
      </c>
      <c r="P5" s="1" t="s">
        <v>28</v>
      </c>
    </row>
    <row r="6" spans="1:16" ht="12.75">
      <c r="A6" s="5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11</v>
      </c>
      <c r="O6" s="4">
        <v>12</v>
      </c>
      <c r="P6" s="4">
        <v>13</v>
      </c>
    </row>
    <row r="7" spans="1:19" ht="13.5" customHeight="1">
      <c r="A7" s="7" t="s">
        <v>0</v>
      </c>
      <c r="B7" s="36">
        <v>241658.6</v>
      </c>
      <c r="C7" s="20">
        <v>80380.1</v>
      </c>
      <c r="D7" s="29">
        <v>9505.4</v>
      </c>
      <c r="E7" s="36">
        <v>127949.4</v>
      </c>
      <c r="F7" s="20">
        <v>40775.5</v>
      </c>
      <c r="G7" s="29">
        <v>6276.4</v>
      </c>
      <c r="H7" s="36">
        <f>E7-B7</f>
        <v>-113709.20000000001</v>
      </c>
      <c r="I7" s="20">
        <f>F7-C7</f>
        <v>-39604.600000000006</v>
      </c>
      <c r="J7" s="29">
        <f>G7-D7</f>
        <v>-3229</v>
      </c>
      <c r="K7" s="15">
        <f aca="true" t="shared" si="0" ref="K7:M9">E7/B7*100</f>
        <v>52.94634662288037</v>
      </c>
      <c r="L7" s="15">
        <f t="shared" si="0"/>
        <v>50.72835191794983</v>
      </c>
      <c r="M7" s="15">
        <f t="shared" si="0"/>
        <v>66.02983567235466</v>
      </c>
      <c r="N7" s="36">
        <f>E7/B7*100</f>
        <v>52.94634662288037</v>
      </c>
      <c r="O7" s="20">
        <f>F7/C7*100</f>
        <v>50.72835191794983</v>
      </c>
      <c r="P7" s="29">
        <f>G7/D7*100</f>
        <v>66.02983567235466</v>
      </c>
      <c r="Q7" s="43"/>
      <c r="R7" s="43"/>
      <c r="S7" s="43"/>
    </row>
    <row r="8" spans="1:17" ht="12.75">
      <c r="A8" s="7" t="s">
        <v>23</v>
      </c>
      <c r="B8" s="36">
        <v>5275.7</v>
      </c>
      <c r="C8" s="20">
        <v>3709.7</v>
      </c>
      <c r="D8" s="29">
        <v>3351.8</v>
      </c>
      <c r="E8" s="36">
        <v>3299.4</v>
      </c>
      <c r="F8" s="20">
        <v>2294.9</v>
      </c>
      <c r="G8" s="29">
        <v>2096.1</v>
      </c>
      <c r="H8" s="36">
        <f aca="true" t="shared" si="1" ref="H8:J29">E8-B8</f>
        <v>-1976.2999999999997</v>
      </c>
      <c r="I8" s="20">
        <f t="shared" si="1"/>
        <v>-1414.7999999999997</v>
      </c>
      <c r="J8" s="29">
        <f t="shared" si="1"/>
        <v>-1255.7000000000003</v>
      </c>
      <c r="K8" s="15">
        <f t="shared" si="0"/>
        <v>62.53956820895805</v>
      </c>
      <c r="L8" s="15">
        <f t="shared" si="0"/>
        <v>61.86214518694234</v>
      </c>
      <c r="M8" s="15">
        <f t="shared" si="0"/>
        <v>62.536547526702066</v>
      </c>
      <c r="N8" s="36">
        <f aca="true" t="shared" si="2" ref="N8:P27">E8/B8*100</f>
        <v>62.53956820895805</v>
      </c>
      <c r="O8" s="20">
        <f t="shared" si="2"/>
        <v>61.86214518694234</v>
      </c>
      <c r="P8" s="29">
        <f t="shared" si="2"/>
        <v>62.536547526702066</v>
      </c>
      <c r="Q8" s="43"/>
    </row>
    <row r="9" spans="1:17" ht="15.75" customHeight="1">
      <c r="A9" s="7" t="s">
        <v>1</v>
      </c>
      <c r="B9" s="36">
        <v>21178.8</v>
      </c>
      <c r="C9" s="20">
        <v>2150</v>
      </c>
      <c r="D9" s="29">
        <v>169.5</v>
      </c>
      <c r="E9" s="36">
        <v>11928.4</v>
      </c>
      <c r="F9" s="20">
        <v>1244.7</v>
      </c>
      <c r="G9" s="29">
        <v>80.7</v>
      </c>
      <c r="H9" s="36">
        <f t="shared" si="1"/>
        <v>-9250.4</v>
      </c>
      <c r="I9" s="20">
        <f t="shared" si="1"/>
        <v>-905.3</v>
      </c>
      <c r="J9" s="29">
        <f t="shared" si="1"/>
        <v>-88.8</v>
      </c>
      <c r="K9" s="15">
        <f t="shared" si="0"/>
        <v>56.322360095945</v>
      </c>
      <c r="L9" s="15">
        <f t="shared" si="0"/>
        <v>57.89302325581396</v>
      </c>
      <c r="M9" s="15">
        <f t="shared" si="0"/>
        <v>47.61061946902655</v>
      </c>
      <c r="N9" s="36">
        <f t="shared" si="2"/>
        <v>56.322360095945</v>
      </c>
      <c r="O9" s="20">
        <f t="shared" si="2"/>
        <v>57.89302325581396</v>
      </c>
      <c r="P9" s="29">
        <f t="shared" si="2"/>
        <v>47.61061946902655</v>
      </c>
      <c r="Q9" s="43"/>
    </row>
    <row r="10" spans="1:17" ht="15" customHeight="1">
      <c r="A10" s="7" t="s">
        <v>2</v>
      </c>
      <c r="B10" s="36">
        <v>0</v>
      </c>
      <c r="C10" s="20">
        <v>190</v>
      </c>
      <c r="D10" s="29">
        <v>10</v>
      </c>
      <c r="E10" s="36">
        <v>0</v>
      </c>
      <c r="F10" s="20">
        <v>814.7</v>
      </c>
      <c r="G10" s="29">
        <v>16.4</v>
      </c>
      <c r="H10" s="36">
        <f t="shared" si="1"/>
        <v>0</v>
      </c>
      <c r="I10" s="20">
        <f t="shared" si="1"/>
        <v>624.7</v>
      </c>
      <c r="J10" s="29">
        <f t="shared" si="1"/>
        <v>6.399999999999999</v>
      </c>
      <c r="K10" s="15">
        <v>0</v>
      </c>
      <c r="L10" s="15">
        <f>F10/C10*100</f>
        <v>428.7894736842105</v>
      </c>
      <c r="M10" s="15">
        <f>G10/D10*100</f>
        <v>164</v>
      </c>
      <c r="N10" s="36">
        <v>0</v>
      </c>
      <c r="O10" s="20">
        <f t="shared" si="2"/>
        <v>428.7894736842105</v>
      </c>
      <c r="P10" s="29">
        <f t="shared" si="2"/>
        <v>164</v>
      </c>
      <c r="Q10" s="43"/>
    </row>
    <row r="11" spans="1:17" ht="24" customHeight="1">
      <c r="A11" s="7" t="s">
        <v>22</v>
      </c>
      <c r="B11" s="36">
        <v>595</v>
      </c>
      <c r="C11" s="20">
        <v>0</v>
      </c>
      <c r="D11" s="29">
        <v>0</v>
      </c>
      <c r="E11" s="36">
        <v>532.7</v>
      </c>
      <c r="F11" s="20">
        <v>0</v>
      </c>
      <c r="G11" s="29">
        <v>0</v>
      </c>
      <c r="H11" s="36">
        <f t="shared" si="1"/>
        <v>-62.299999999999955</v>
      </c>
      <c r="I11" s="20">
        <f t="shared" si="1"/>
        <v>0</v>
      </c>
      <c r="J11" s="29">
        <f t="shared" si="1"/>
        <v>0</v>
      </c>
      <c r="K11" s="15">
        <f>E11/B11*100</f>
        <v>89.52941176470588</v>
      </c>
      <c r="L11" s="15">
        <v>0</v>
      </c>
      <c r="M11" s="15">
        <v>0</v>
      </c>
      <c r="N11" s="36">
        <f t="shared" si="2"/>
        <v>89.52941176470588</v>
      </c>
      <c r="O11" s="20">
        <v>0</v>
      </c>
      <c r="P11" s="29">
        <v>0</v>
      </c>
      <c r="Q11" s="43"/>
    </row>
    <row r="12" spans="1:17" ht="14.25" customHeight="1">
      <c r="A12" s="57" t="s">
        <v>16</v>
      </c>
      <c r="B12" s="36">
        <v>0</v>
      </c>
      <c r="C12" s="20">
        <v>23723.4</v>
      </c>
      <c r="D12" s="29">
        <v>3200</v>
      </c>
      <c r="E12" s="36">
        <v>0</v>
      </c>
      <c r="F12" s="20">
        <v>4239.3</v>
      </c>
      <c r="G12" s="29">
        <v>592.4</v>
      </c>
      <c r="H12" s="36">
        <f t="shared" si="1"/>
        <v>0</v>
      </c>
      <c r="I12" s="20">
        <f t="shared" si="1"/>
        <v>-19484.100000000002</v>
      </c>
      <c r="J12" s="29">
        <f t="shared" si="1"/>
        <v>-2607.6</v>
      </c>
      <c r="K12" s="15">
        <v>0</v>
      </c>
      <c r="L12" s="15">
        <f aca="true" t="shared" si="3" ref="L12:M15">F12/C12*100</f>
        <v>17.86969827259162</v>
      </c>
      <c r="M12" s="15">
        <f t="shared" si="3"/>
        <v>18.5125</v>
      </c>
      <c r="N12" s="36">
        <v>0</v>
      </c>
      <c r="O12" s="20">
        <f t="shared" si="2"/>
        <v>17.86969827259162</v>
      </c>
      <c r="P12" s="29">
        <f t="shared" si="2"/>
        <v>18.5125</v>
      </c>
      <c r="Q12" s="43"/>
    </row>
    <row r="13" spans="1:17" ht="15" customHeight="1">
      <c r="A13" s="7" t="s">
        <v>18</v>
      </c>
      <c r="B13" s="36">
        <v>7336.8</v>
      </c>
      <c r="C13" s="20">
        <v>7800</v>
      </c>
      <c r="D13" s="29">
        <v>139.9</v>
      </c>
      <c r="E13" s="36">
        <v>5059.6</v>
      </c>
      <c r="F13" s="26">
        <v>4986.7</v>
      </c>
      <c r="G13" s="35">
        <v>72.9</v>
      </c>
      <c r="H13" s="36">
        <f t="shared" si="1"/>
        <v>-2277.2</v>
      </c>
      <c r="I13" s="20">
        <f t="shared" si="1"/>
        <v>-2813.3</v>
      </c>
      <c r="J13" s="29">
        <f t="shared" si="1"/>
        <v>-67</v>
      </c>
      <c r="K13" s="15">
        <f>E13/B13*100</f>
        <v>68.96194526223968</v>
      </c>
      <c r="L13" s="15">
        <f t="shared" si="3"/>
        <v>63.93205128205128</v>
      </c>
      <c r="M13" s="15">
        <f t="shared" si="3"/>
        <v>52.108649035025024</v>
      </c>
      <c r="N13" s="36">
        <f t="shared" si="2"/>
        <v>68.96194526223968</v>
      </c>
      <c r="O13" s="20">
        <f t="shared" si="2"/>
        <v>63.93205128205128</v>
      </c>
      <c r="P13" s="29">
        <f t="shared" si="2"/>
        <v>52.108649035025024</v>
      </c>
      <c r="Q13" s="43"/>
    </row>
    <row r="14" spans="1:17" ht="15" customHeight="1">
      <c r="A14" s="57" t="s">
        <v>19</v>
      </c>
      <c r="B14" s="36">
        <v>24387</v>
      </c>
      <c r="C14" s="20">
        <v>18500</v>
      </c>
      <c r="D14" s="29">
        <v>2650.7</v>
      </c>
      <c r="E14" s="36">
        <v>5658.5</v>
      </c>
      <c r="F14" s="20">
        <v>4728.6</v>
      </c>
      <c r="G14" s="35">
        <v>929.8</v>
      </c>
      <c r="H14" s="36">
        <f t="shared" si="1"/>
        <v>-18728.5</v>
      </c>
      <c r="I14" s="20">
        <f t="shared" si="1"/>
        <v>-13771.4</v>
      </c>
      <c r="J14" s="29">
        <f t="shared" si="1"/>
        <v>-1720.8999999999999</v>
      </c>
      <c r="K14" s="15">
        <f>E14/B14*100</f>
        <v>23.202935990486733</v>
      </c>
      <c r="L14" s="15">
        <f t="shared" si="3"/>
        <v>25.56</v>
      </c>
      <c r="M14" s="15">
        <f t="shared" si="3"/>
        <v>35.07752669106274</v>
      </c>
      <c r="N14" s="36">
        <f t="shared" si="2"/>
        <v>23.202935990486733</v>
      </c>
      <c r="O14" s="20">
        <f t="shared" si="2"/>
        <v>25.56</v>
      </c>
      <c r="P14" s="29">
        <f t="shared" si="2"/>
        <v>35.07752669106274</v>
      </c>
      <c r="Q14" s="43"/>
    </row>
    <row r="15" spans="1:17" ht="15.75" customHeight="1">
      <c r="A15" s="7" t="s">
        <v>8</v>
      </c>
      <c r="B15" s="36">
        <v>0</v>
      </c>
      <c r="C15" s="20">
        <v>55210</v>
      </c>
      <c r="D15" s="29">
        <v>14166.8</v>
      </c>
      <c r="E15" s="36">
        <v>0</v>
      </c>
      <c r="F15" s="20">
        <v>34098.9</v>
      </c>
      <c r="G15" s="29">
        <v>6457.2</v>
      </c>
      <c r="H15" s="36">
        <f t="shared" si="1"/>
        <v>0</v>
      </c>
      <c r="I15" s="20">
        <f t="shared" si="1"/>
        <v>-21111.1</v>
      </c>
      <c r="J15" s="29">
        <f t="shared" si="1"/>
        <v>-7709.599999999999</v>
      </c>
      <c r="K15" s="15">
        <v>0</v>
      </c>
      <c r="L15" s="15">
        <f t="shared" si="3"/>
        <v>61.76218076435429</v>
      </c>
      <c r="M15" s="15">
        <f t="shared" si="3"/>
        <v>45.57980630770534</v>
      </c>
      <c r="N15" s="36">
        <v>0</v>
      </c>
      <c r="O15" s="20">
        <f t="shared" si="2"/>
        <v>61.76218076435429</v>
      </c>
      <c r="P15" s="29">
        <f t="shared" si="2"/>
        <v>45.57980630770534</v>
      </c>
      <c r="Q15" s="43"/>
    </row>
    <row r="16" spans="1:17" ht="15" customHeight="1">
      <c r="A16" s="7" t="s">
        <v>3</v>
      </c>
      <c r="B16" s="36">
        <v>8451.2</v>
      </c>
      <c r="C16" s="20">
        <v>0</v>
      </c>
      <c r="D16" s="29">
        <v>63.5</v>
      </c>
      <c r="E16" s="36">
        <v>4990.1</v>
      </c>
      <c r="F16" s="20">
        <v>0</v>
      </c>
      <c r="G16" s="29">
        <v>26.4</v>
      </c>
      <c r="H16" s="36">
        <f t="shared" si="1"/>
        <v>-3461.1000000000004</v>
      </c>
      <c r="I16" s="20">
        <f t="shared" si="1"/>
        <v>0</v>
      </c>
      <c r="J16" s="29">
        <f t="shared" si="1"/>
        <v>-37.1</v>
      </c>
      <c r="K16" s="15">
        <f>E16/B16*100</f>
        <v>59.04605263157895</v>
      </c>
      <c r="L16" s="15">
        <v>0</v>
      </c>
      <c r="M16" s="15">
        <f>G16/D16*100</f>
        <v>41.574803149606296</v>
      </c>
      <c r="N16" s="36">
        <f t="shared" si="2"/>
        <v>59.04605263157895</v>
      </c>
      <c r="O16" s="20">
        <v>0</v>
      </c>
      <c r="P16" s="29">
        <f t="shared" si="2"/>
        <v>41.574803149606296</v>
      </c>
      <c r="Q16" s="43"/>
    </row>
    <row r="17" spans="1:17" ht="15" customHeight="1">
      <c r="A17" s="59" t="s">
        <v>33</v>
      </c>
      <c r="B17" s="36">
        <v>0</v>
      </c>
      <c r="C17" s="20">
        <v>0</v>
      </c>
      <c r="D17" s="29">
        <v>0</v>
      </c>
      <c r="E17" s="36">
        <v>0</v>
      </c>
      <c r="F17" s="20">
        <v>0</v>
      </c>
      <c r="G17" s="29">
        <v>0</v>
      </c>
      <c r="H17" s="36">
        <f t="shared" si="1"/>
        <v>0</v>
      </c>
      <c r="I17" s="20">
        <f t="shared" si="1"/>
        <v>0</v>
      </c>
      <c r="J17" s="29">
        <f t="shared" si="1"/>
        <v>0</v>
      </c>
      <c r="K17" s="15">
        <v>0</v>
      </c>
      <c r="L17" s="15">
        <v>0</v>
      </c>
      <c r="M17" s="15">
        <v>0</v>
      </c>
      <c r="N17" s="36">
        <v>0</v>
      </c>
      <c r="O17" s="20">
        <v>0</v>
      </c>
      <c r="P17" s="29">
        <v>0</v>
      </c>
      <c r="Q17" s="43"/>
    </row>
    <row r="18" spans="1:17" ht="16.5" customHeight="1">
      <c r="A18" s="59" t="s">
        <v>13</v>
      </c>
      <c r="B18" s="36">
        <v>47768</v>
      </c>
      <c r="C18" s="20">
        <f>14600+454</f>
        <v>15054</v>
      </c>
      <c r="D18" s="29">
        <v>0</v>
      </c>
      <c r="E18" s="36">
        <v>24493</v>
      </c>
      <c r="F18" s="20">
        <v>10538.4</v>
      </c>
      <c r="G18" s="29">
        <v>0</v>
      </c>
      <c r="H18" s="36">
        <f t="shared" si="1"/>
        <v>-23275</v>
      </c>
      <c r="I18" s="20">
        <f t="shared" si="1"/>
        <v>-4515.6</v>
      </c>
      <c r="J18" s="29">
        <f t="shared" si="1"/>
        <v>0</v>
      </c>
      <c r="K18" s="15">
        <f aca="true" t="shared" si="4" ref="K18:L27">E18/B18*100</f>
        <v>51.27491207502931</v>
      </c>
      <c r="L18" s="15">
        <f t="shared" si="4"/>
        <v>70.00398565165405</v>
      </c>
      <c r="M18" s="15">
        <v>0</v>
      </c>
      <c r="N18" s="36">
        <f t="shared" si="2"/>
        <v>51.27491207502931</v>
      </c>
      <c r="O18" s="20">
        <f t="shared" si="2"/>
        <v>70.00398565165405</v>
      </c>
      <c r="P18" s="29">
        <v>0</v>
      </c>
      <c r="Q18" s="43"/>
    </row>
    <row r="19" spans="1:17" ht="15" customHeight="1">
      <c r="A19" s="57" t="s">
        <v>4</v>
      </c>
      <c r="B19" s="36">
        <v>4500</v>
      </c>
      <c r="C19" s="20">
        <v>2782</v>
      </c>
      <c r="D19" s="29">
        <v>531.8</v>
      </c>
      <c r="E19" s="36">
        <v>2920.9</v>
      </c>
      <c r="F19" s="20">
        <v>1582.1</v>
      </c>
      <c r="G19" s="29">
        <v>218.7</v>
      </c>
      <c r="H19" s="36">
        <f t="shared" si="1"/>
        <v>-1579.1</v>
      </c>
      <c r="I19" s="20">
        <f t="shared" si="1"/>
        <v>-1199.9</v>
      </c>
      <c r="J19" s="29">
        <f t="shared" si="1"/>
        <v>-313.09999999999997</v>
      </c>
      <c r="K19" s="15">
        <f t="shared" si="4"/>
        <v>64.9088888888889</v>
      </c>
      <c r="L19" s="15">
        <f t="shared" si="4"/>
        <v>56.86915887850466</v>
      </c>
      <c r="M19" s="15">
        <f>G19/D19*100</f>
        <v>41.12448288830387</v>
      </c>
      <c r="N19" s="36">
        <f t="shared" si="2"/>
        <v>64.9088888888889</v>
      </c>
      <c r="O19" s="20">
        <f t="shared" si="2"/>
        <v>56.86915887850466</v>
      </c>
      <c r="P19" s="29">
        <f t="shared" si="2"/>
        <v>41.12448288830387</v>
      </c>
      <c r="Q19" s="43"/>
    </row>
    <row r="20" spans="1:17" ht="27" customHeight="1">
      <c r="A20" s="59" t="s">
        <v>24</v>
      </c>
      <c r="B20" s="36">
        <f>667+101.6</f>
        <v>768.6</v>
      </c>
      <c r="C20" s="20">
        <f>235.8+2944.5</f>
        <v>3180.3</v>
      </c>
      <c r="D20" s="29">
        <v>15</v>
      </c>
      <c r="E20" s="36">
        <f>336.3+69.7</f>
        <v>406</v>
      </c>
      <c r="F20" s="20">
        <f>75.4+1420.8</f>
        <v>1496.2</v>
      </c>
      <c r="G20" s="29">
        <v>15</v>
      </c>
      <c r="H20" s="36">
        <f t="shared" si="1"/>
        <v>-362.6</v>
      </c>
      <c r="I20" s="20">
        <f t="shared" si="1"/>
        <v>-1684.1000000000001</v>
      </c>
      <c r="J20" s="29">
        <f t="shared" si="1"/>
        <v>0</v>
      </c>
      <c r="K20" s="15">
        <f t="shared" si="4"/>
        <v>52.82331511839708</v>
      </c>
      <c r="L20" s="15">
        <f t="shared" si="4"/>
        <v>47.045876175203595</v>
      </c>
      <c r="M20" s="15">
        <v>0</v>
      </c>
      <c r="N20" s="36">
        <f t="shared" si="2"/>
        <v>52.82331511839708</v>
      </c>
      <c r="O20" s="20">
        <f t="shared" si="2"/>
        <v>47.045876175203595</v>
      </c>
      <c r="P20" s="29">
        <v>0</v>
      </c>
      <c r="Q20" s="43"/>
    </row>
    <row r="21" spans="1:17" ht="16.5" customHeight="1">
      <c r="A21" s="57" t="s">
        <v>5</v>
      </c>
      <c r="B21" s="36">
        <v>6866</v>
      </c>
      <c r="C21" s="20">
        <v>0</v>
      </c>
      <c r="D21" s="29">
        <v>0</v>
      </c>
      <c r="E21" s="36">
        <v>2935.7</v>
      </c>
      <c r="F21" s="20">
        <v>0</v>
      </c>
      <c r="G21" s="29">
        <v>0</v>
      </c>
      <c r="H21" s="36">
        <f t="shared" si="1"/>
        <v>-3930.3</v>
      </c>
      <c r="I21" s="20">
        <f t="shared" si="1"/>
        <v>0</v>
      </c>
      <c r="J21" s="29">
        <f t="shared" si="1"/>
        <v>0</v>
      </c>
      <c r="K21" s="15">
        <f t="shared" si="4"/>
        <v>42.757063792601215</v>
      </c>
      <c r="L21" s="15">
        <v>0</v>
      </c>
      <c r="M21" s="15">
        <v>0</v>
      </c>
      <c r="N21" s="36">
        <f t="shared" si="2"/>
        <v>42.757063792601215</v>
      </c>
      <c r="O21" s="20">
        <v>0</v>
      </c>
      <c r="P21" s="29">
        <v>0</v>
      </c>
      <c r="Q21" s="43"/>
    </row>
    <row r="22" spans="1:17" ht="15.75" customHeight="1">
      <c r="A22" s="57" t="s">
        <v>20</v>
      </c>
      <c r="B22" s="36">
        <v>2998</v>
      </c>
      <c r="C22" s="20">
        <v>276.2</v>
      </c>
      <c r="D22" s="29">
        <v>0</v>
      </c>
      <c r="E22" s="36">
        <v>968.9</v>
      </c>
      <c r="F22" s="20">
        <v>438.2</v>
      </c>
      <c r="G22" s="29">
        <v>11.3</v>
      </c>
      <c r="H22" s="36">
        <f t="shared" si="1"/>
        <v>-2029.1</v>
      </c>
      <c r="I22" s="20">
        <f t="shared" si="1"/>
        <v>162</v>
      </c>
      <c r="J22" s="29">
        <f t="shared" si="1"/>
        <v>11.3</v>
      </c>
      <c r="K22" s="15">
        <f t="shared" si="4"/>
        <v>32.318212141427615</v>
      </c>
      <c r="L22" s="15">
        <f>F22/C22*100</f>
        <v>158.65314989138307</v>
      </c>
      <c r="M22" s="15">
        <v>0</v>
      </c>
      <c r="N22" s="36">
        <f t="shared" si="2"/>
        <v>32.318212141427615</v>
      </c>
      <c r="O22" s="20">
        <f t="shared" si="2"/>
        <v>158.65314989138307</v>
      </c>
      <c r="P22" s="29">
        <v>0</v>
      </c>
      <c r="Q22" s="43"/>
    </row>
    <row r="23" spans="1:17" ht="15" customHeight="1">
      <c r="A23" s="57" t="s">
        <v>6</v>
      </c>
      <c r="B23" s="36">
        <v>103.5</v>
      </c>
      <c r="C23" s="20">
        <v>0</v>
      </c>
      <c r="D23" s="29">
        <v>0</v>
      </c>
      <c r="E23" s="36">
        <v>98.4</v>
      </c>
      <c r="F23" s="20">
        <v>0</v>
      </c>
      <c r="G23" s="29">
        <v>0</v>
      </c>
      <c r="H23" s="36">
        <f t="shared" si="1"/>
        <v>-5.099999999999994</v>
      </c>
      <c r="I23" s="20">
        <f t="shared" si="1"/>
        <v>0</v>
      </c>
      <c r="J23" s="29">
        <f t="shared" si="1"/>
        <v>0</v>
      </c>
      <c r="K23" s="15">
        <f t="shared" si="4"/>
        <v>95.07246376811594</v>
      </c>
      <c r="L23" s="15" t="e">
        <f>F23/C23*100</f>
        <v>#DIV/0!</v>
      </c>
      <c r="M23" s="15">
        <v>0</v>
      </c>
      <c r="N23" s="36">
        <f t="shared" si="2"/>
        <v>95.07246376811594</v>
      </c>
      <c r="O23" s="20">
        <v>0</v>
      </c>
      <c r="P23" s="29">
        <v>0</v>
      </c>
      <c r="Q23" s="43"/>
    </row>
    <row r="24" spans="1:17" ht="15.75" customHeight="1">
      <c r="A24" s="57" t="s">
        <v>29</v>
      </c>
      <c r="B24" s="36">
        <v>1594</v>
      </c>
      <c r="C24" s="20">
        <v>7298.7</v>
      </c>
      <c r="D24" s="29">
        <v>2197.4</v>
      </c>
      <c r="E24" s="36">
        <v>0</v>
      </c>
      <c r="F24" s="20">
        <v>1088.6</v>
      </c>
      <c r="G24" s="29">
        <v>25.5</v>
      </c>
      <c r="H24" s="36">
        <f t="shared" si="1"/>
        <v>-1594</v>
      </c>
      <c r="I24" s="20">
        <f t="shared" si="1"/>
        <v>-6210.1</v>
      </c>
      <c r="J24" s="29">
        <f t="shared" si="1"/>
        <v>-2171.9</v>
      </c>
      <c r="K24" s="15">
        <f t="shared" si="4"/>
        <v>0</v>
      </c>
      <c r="L24" s="15">
        <f>F24/C24*100</f>
        <v>14.91498486031759</v>
      </c>
      <c r="M24" s="15">
        <f>G24/D24*100</f>
        <v>1.1604623646127241</v>
      </c>
      <c r="N24" s="36">
        <v>0</v>
      </c>
      <c r="O24" s="20">
        <f t="shared" si="2"/>
        <v>14.91498486031759</v>
      </c>
      <c r="P24" s="29">
        <f t="shared" si="2"/>
        <v>1.1604623646127241</v>
      </c>
      <c r="Q24" s="43"/>
    </row>
    <row r="25" spans="1:17" ht="27" customHeight="1">
      <c r="A25" s="57" t="s">
        <v>17</v>
      </c>
      <c r="B25" s="36">
        <f>4817.3+330</f>
        <v>5147.3</v>
      </c>
      <c r="C25" s="20">
        <f>8349.3+385</f>
        <v>8734.3</v>
      </c>
      <c r="D25" s="29">
        <v>60.3</v>
      </c>
      <c r="E25" s="36">
        <f>5923.8+205.5</f>
        <v>6129.3</v>
      </c>
      <c r="F25" s="20">
        <f>6807.4+89.2</f>
        <v>6896.599999999999</v>
      </c>
      <c r="G25" s="29">
        <v>-147.6</v>
      </c>
      <c r="H25" s="36">
        <f t="shared" si="1"/>
        <v>982</v>
      </c>
      <c r="I25" s="20">
        <f t="shared" si="1"/>
        <v>-1837.6999999999998</v>
      </c>
      <c r="J25" s="29">
        <f t="shared" si="1"/>
        <v>-207.89999999999998</v>
      </c>
      <c r="K25" s="15">
        <f t="shared" si="4"/>
        <v>119.07796320400988</v>
      </c>
      <c r="L25" s="15">
        <f>F25/C25*100</f>
        <v>78.95996244690473</v>
      </c>
      <c r="M25" s="15">
        <v>0</v>
      </c>
      <c r="N25" s="36">
        <f t="shared" si="2"/>
        <v>119.07796320400988</v>
      </c>
      <c r="O25" s="20">
        <f t="shared" si="2"/>
        <v>78.95996244690473</v>
      </c>
      <c r="P25" s="29">
        <v>0</v>
      </c>
      <c r="Q25" s="43"/>
    </row>
    <row r="26" spans="1:17" ht="16.5" customHeight="1">
      <c r="A26" s="7" t="s">
        <v>7</v>
      </c>
      <c r="B26" s="36">
        <v>9956.8</v>
      </c>
      <c r="C26" s="20">
        <v>297.2</v>
      </c>
      <c r="D26" s="29">
        <v>50.9</v>
      </c>
      <c r="E26" s="48">
        <v>7607.4</v>
      </c>
      <c r="F26" s="26">
        <v>572</v>
      </c>
      <c r="G26" s="35">
        <v>132.5</v>
      </c>
      <c r="H26" s="36">
        <f t="shared" si="1"/>
        <v>-2349.3999999999996</v>
      </c>
      <c r="I26" s="20">
        <f t="shared" si="1"/>
        <v>274.8</v>
      </c>
      <c r="J26" s="29">
        <f t="shared" si="1"/>
        <v>81.6</v>
      </c>
      <c r="K26" s="15">
        <f t="shared" si="4"/>
        <v>76.40406556323317</v>
      </c>
      <c r="L26" s="15">
        <f>F26/C26*100</f>
        <v>192.46298788694483</v>
      </c>
      <c r="M26" s="15">
        <f>G26/D26*100</f>
        <v>260.31434184675834</v>
      </c>
      <c r="N26" s="36">
        <f t="shared" si="2"/>
        <v>76.40406556323317</v>
      </c>
      <c r="O26" s="20">
        <f t="shared" si="2"/>
        <v>192.46298788694483</v>
      </c>
      <c r="P26" s="29">
        <f t="shared" si="2"/>
        <v>260.31434184675834</v>
      </c>
      <c r="Q26" s="43"/>
    </row>
    <row r="27" spans="1:17" ht="14.25" customHeight="1">
      <c r="A27" s="7" t="s">
        <v>9</v>
      </c>
      <c r="B27" s="36">
        <v>135.5</v>
      </c>
      <c r="C27" s="20">
        <v>26.4</v>
      </c>
      <c r="D27" s="29">
        <v>49.6</v>
      </c>
      <c r="E27" s="36">
        <v>95.5</v>
      </c>
      <c r="F27" s="20">
        <f>85.5+0.3</f>
        <v>85.8</v>
      </c>
      <c r="G27" s="29">
        <f>193.8</f>
        <v>193.8</v>
      </c>
      <c r="H27" s="36">
        <f t="shared" si="1"/>
        <v>-40</v>
      </c>
      <c r="I27" s="20">
        <f t="shared" si="1"/>
        <v>59.4</v>
      </c>
      <c r="J27" s="29">
        <f t="shared" si="1"/>
        <v>144.20000000000002</v>
      </c>
      <c r="K27" s="15">
        <f t="shared" si="4"/>
        <v>70.47970479704797</v>
      </c>
      <c r="L27" s="15">
        <v>0</v>
      </c>
      <c r="M27" s="15">
        <v>0</v>
      </c>
      <c r="N27" s="36">
        <f t="shared" si="2"/>
        <v>70.47970479704797</v>
      </c>
      <c r="O27" s="20">
        <v>0</v>
      </c>
      <c r="P27" s="29">
        <f t="shared" si="2"/>
        <v>390.7258064516129</v>
      </c>
      <c r="Q27" s="43"/>
    </row>
    <row r="28" spans="1:17" ht="16.5" customHeight="1" thickBot="1">
      <c r="A28" s="8" t="s">
        <v>10</v>
      </c>
      <c r="B28" s="37">
        <v>0</v>
      </c>
      <c r="C28" s="21">
        <v>0</v>
      </c>
      <c r="D28" s="30">
        <v>0</v>
      </c>
      <c r="E28" s="37">
        <v>-15.3</v>
      </c>
      <c r="F28" s="25">
        <v>0</v>
      </c>
      <c r="G28" s="34">
        <v>0</v>
      </c>
      <c r="H28" s="37">
        <f t="shared" si="1"/>
        <v>-15.3</v>
      </c>
      <c r="I28" s="21">
        <f t="shared" si="1"/>
        <v>0</v>
      </c>
      <c r="J28" s="30">
        <f t="shared" si="1"/>
        <v>0</v>
      </c>
      <c r="K28" s="16">
        <v>0</v>
      </c>
      <c r="L28" s="16">
        <v>0</v>
      </c>
      <c r="M28" s="16">
        <v>0</v>
      </c>
      <c r="N28" s="36">
        <v>0</v>
      </c>
      <c r="O28" s="20">
        <v>0</v>
      </c>
      <c r="P28" s="29">
        <v>0</v>
      </c>
      <c r="Q28" s="43"/>
    </row>
    <row r="29" spans="1:17" ht="15" customHeight="1" thickBot="1">
      <c r="A29" s="9" t="s">
        <v>14</v>
      </c>
      <c r="B29" s="38">
        <f>B7+B8+B9+B10+B11+B13+B12+B14+B15+B16+B17+B18+B19+B20+B21+B22+B23+B24+B25+B26+B27+B28</f>
        <v>388720.8</v>
      </c>
      <c r="C29" s="22">
        <f>SUM(C7:C28)</f>
        <v>229312.30000000002</v>
      </c>
      <c r="D29" s="31">
        <f>SUM(D7:D28)</f>
        <v>36162.600000000006</v>
      </c>
      <c r="E29" s="38">
        <f>SUM(E7:E28)</f>
        <v>205057.9</v>
      </c>
      <c r="F29" s="27">
        <f>SUM(F7:F28)</f>
        <v>115881.2</v>
      </c>
      <c r="G29" s="31">
        <f>SUM(G7:G28)</f>
        <v>16997.5</v>
      </c>
      <c r="H29" s="51">
        <f t="shared" si="1"/>
        <v>-183662.9</v>
      </c>
      <c r="I29" s="52">
        <f t="shared" si="1"/>
        <v>-113431.10000000002</v>
      </c>
      <c r="J29" s="53">
        <f t="shared" si="1"/>
        <v>-19165.100000000006</v>
      </c>
      <c r="K29" s="44">
        <f aca="true" t="shared" si="5" ref="K29:M32">E29/B29*100</f>
        <v>52.75197519659355</v>
      </c>
      <c r="L29" s="44">
        <f t="shared" si="5"/>
        <v>50.53422777583234</v>
      </c>
      <c r="M29" s="18">
        <f t="shared" si="5"/>
        <v>47.002980980349854</v>
      </c>
      <c r="N29" s="49">
        <f aca="true" t="shared" si="6" ref="N29:P35">E29/B29*100</f>
        <v>52.75197519659355</v>
      </c>
      <c r="O29" s="52">
        <f t="shared" si="6"/>
        <v>50.53422777583234</v>
      </c>
      <c r="P29" s="55">
        <f t="shared" si="6"/>
        <v>47.002980980349854</v>
      </c>
      <c r="Q29" s="43"/>
    </row>
    <row r="30" spans="1:17" ht="26.25" customHeight="1">
      <c r="A30" s="10" t="s">
        <v>21</v>
      </c>
      <c r="B30" s="39">
        <v>153075.8</v>
      </c>
      <c r="C30" s="23">
        <v>14436.5</v>
      </c>
      <c r="D30" s="32">
        <v>24546.5</v>
      </c>
      <c r="E30" s="39">
        <v>89294.3</v>
      </c>
      <c r="F30" s="23">
        <v>8421.5</v>
      </c>
      <c r="G30" s="32">
        <v>13982.5</v>
      </c>
      <c r="H30" s="39">
        <f aca="true" t="shared" si="7" ref="H30:J35">E30-B30</f>
        <v>-63781.499999999985</v>
      </c>
      <c r="I30" s="23">
        <f t="shared" si="7"/>
        <v>-6015</v>
      </c>
      <c r="J30" s="32">
        <f t="shared" si="7"/>
        <v>-10564</v>
      </c>
      <c r="K30" s="17">
        <f t="shared" si="5"/>
        <v>58.33338777259372</v>
      </c>
      <c r="L30" s="17">
        <f t="shared" si="5"/>
        <v>58.3347764347314</v>
      </c>
      <c r="M30" s="17">
        <f t="shared" si="5"/>
        <v>56.963314525492436</v>
      </c>
      <c r="N30" s="39">
        <f t="shared" si="6"/>
        <v>58.33338777259372</v>
      </c>
      <c r="O30" s="23">
        <f t="shared" si="6"/>
        <v>58.3347764347314</v>
      </c>
      <c r="P30" s="32">
        <f t="shared" si="6"/>
        <v>56.963314525492436</v>
      </c>
      <c r="Q30" s="43"/>
    </row>
    <row r="31" spans="1:17" ht="27.75" customHeight="1">
      <c r="A31" s="11" t="s">
        <v>32</v>
      </c>
      <c r="B31" s="36">
        <f>199827.8+608054+88985</f>
        <v>896866.8</v>
      </c>
      <c r="C31" s="20">
        <f>17977.1+1818+11539.9</f>
        <v>31335</v>
      </c>
      <c r="D31" s="29">
        <f>4504.5+787.6+16810.5</f>
        <v>22102.6</v>
      </c>
      <c r="E31" s="36">
        <f>119231.9+395365.4+13128.9</f>
        <v>527726.2000000001</v>
      </c>
      <c r="F31" s="20">
        <f>4332.3+1551.3+1025.2</f>
        <v>6908.8</v>
      </c>
      <c r="G31" s="29">
        <f>2621.6+575.3+5721.3</f>
        <v>8918.2</v>
      </c>
      <c r="H31" s="36">
        <f t="shared" si="7"/>
        <v>-369140.6</v>
      </c>
      <c r="I31" s="23">
        <f t="shared" si="7"/>
        <v>-24426.2</v>
      </c>
      <c r="J31" s="32">
        <f t="shared" si="7"/>
        <v>-13184.399999999998</v>
      </c>
      <c r="K31" s="17">
        <f t="shared" si="5"/>
        <v>58.84108989205532</v>
      </c>
      <c r="L31" s="15">
        <f t="shared" si="5"/>
        <v>22.04818892612095</v>
      </c>
      <c r="M31" s="15">
        <f t="shared" si="5"/>
        <v>40.349099200998985</v>
      </c>
      <c r="N31" s="36">
        <f t="shared" si="6"/>
        <v>58.84108989205532</v>
      </c>
      <c r="O31" s="20">
        <f t="shared" si="6"/>
        <v>22.04818892612095</v>
      </c>
      <c r="P31" s="29">
        <f t="shared" si="6"/>
        <v>40.349099200998985</v>
      </c>
      <c r="Q31" s="43"/>
    </row>
    <row r="32" spans="1:17" ht="18" customHeight="1" thickBot="1">
      <c r="A32" s="12" t="s">
        <v>11</v>
      </c>
      <c r="B32" s="37">
        <v>183.2</v>
      </c>
      <c r="C32" s="21">
        <v>157</v>
      </c>
      <c r="D32" s="30">
        <v>653.6</v>
      </c>
      <c r="E32" s="37">
        <v>183.2</v>
      </c>
      <c r="F32" s="21">
        <v>157</v>
      </c>
      <c r="G32" s="30">
        <v>703.6</v>
      </c>
      <c r="H32" s="37">
        <f t="shared" si="7"/>
        <v>0</v>
      </c>
      <c r="I32" s="25">
        <f t="shared" si="7"/>
        <v>0</v>
      </c>
      <c r="J32" s="34">
        <f t="shared" si="7"/>
        <v>50</v>
      </c>
      <c r="K32" s="19">
        <f t="shared" si="5"/>
        <v>100</v>
      </c>
      <c r="L32" s="16">
        <v>0</v>
      </c>
      <c r="M32" s="16">
        <f t="shared" si="5"/>
        <v>107.6499388004896</v>
      </c>
      <c r="N32" s="36">
        <f t="shared" si="6"/>
        <v>100</v>
      </c>
      <c r="O32" s="20">
        <f t="shared" si="6"/>
        <v>100</v>
      </c>
      <c r="P32" s="29">
        <f t="shared" si="6"/>
        <v>107.6499388004896</v>
      </c>
      <c r="Q32" s="43"/>
    </row>
    <row r="33" spans="1:17" ht="14.25" customHeight="1" thickBot="1">
      <c r="A33" s="13" t="s">
        <v>31</v>
      </c>
      <c r="B33" s="40">
        <f aca="true" t="shared" si="8" ref="B33:G33">SUM(B30:B32)</f>
        <v>1050125.8</v>
      </c>
      <c r="C33" s="24">
        <f t="shared" si="8"/>
        <v>45928.5</v>
      </c>
      <c r="D33" s="33">
        <f t="shared" si="8"/>
        <v>47302.7</v>
      </c>
      <c r="E33" s="40">
        <f t="shared" si="8"/>
        <v>617203.7000000001</v>
      </c>
      <c r="F33" s="24">
        <f t="shared" si="8"/>
        <v>15487.3</v>
      </c>
      <c r="G33" s="33">
        <f t="shared" si="8"/>
        <v>23604.3</v>
      </c>
      <c r="H33" s="51">
        <f t="shared" si="7"/>
        <v>-432922.1</v>
      </c>
      <c r="I33" s="52">
        <f t="shared" si="7"/>
        <v>-30441.2</v>
      </c>
      <c r="J33" s="53">
        <f t="shared" si="7"/>
        <v>-23698.399999999998</v>
      </c>
      <c r="K33" s="56">
        <f>E33/B33*100</f>
        <v>58.77426304543704</v>
      </c>
      <c r="L33" s="18">
        <f>F33/C33*100</f>
        <v>33.72045679697791</v>
      </c>
      <c r="M33" s="18">
        <f>G33/D33*100</f>
        <v>49.90053421897693</v>
      </c>
      <c r="N33" s="49">
        <f t="shared" si="6"/>
        <v>58.77426304543704</v>
      </c>
      <c r="O33" s="52">
        <f t="shared" si="6"/>
        <v>33.72045679697791</v>
      </c>
      <c r="P33" s="55">
        <f t="shared" si="6"/>
        <v>49.90053421897693</v>
      </c>
      <c r="Q33" s="43"/>
    </row>
    <row r="34" spans="1:17" ht="27" customHeight="1" thickBot="1">
      <c r="A34" s="14" t="s">
        <v>30</v>
      </c>
      <c r="B34" s="41">
        <v>478.9</v>
      </c>
      <c r="C34" s="25">
        <v>6317.5</v>
      </c>
      <c r="D34" s="34">
        <v>81.6</v>
      </c>
      <c r="E34" s="41">
        <f>1787.8-4907.7</f>
        <v>-3119.8999999999996</v>
      </c>
      <c r="F34" s="25">
        <f>6333.9-1963.3</f>
        <v>4370.599999999999</v>
      </c>
      <c r="G34" s="34">
        <f>94.3-69.5</f>
        <v>24.799999999999997</v>
      </c>
      <c r="H34" s="41">
        <f t="shared" si="7"/>
        <v>-3598.7999999999997</v>
      </c>
      <c r="I34" s="25">
        <f t="shared" si="7"/>
        <v>-1946.9000000000005</v>
      </c>
      <c r="J34" s="34">
        <f t="shared" si="7"/>
        <v>-56.8</v>
      </c>
      <c r="K34" s="45">
        <v>0</v>
      </c>
      <c r="L34" s="46">
        <v>0</v>
      </c>
      <c r="M34" s="47">
        <v>0</v>
      </c>
      <c r="N34" s="41">
        <v>0</v>
      </c>
      <c r="O34" s="25">
        <v>0</v>
      </c>
      <c r="P34" s="54">
        <v>0</v>
      </c>
      <c r="Q34" s="43"/>
    </row>
    <row r="35" spans="1:17" ht="15" customHeight="1" thickBot="1">
      <c r="A35" s="6" t="s">
        <v>15</v>
      </c>
      <c r="B35" s="40">
        <f aca="true" t="shared" si="9" ref="B35:G35">B29+B33+B34</f>
        <v>1439325.5</v>
      </c>
      <c r="C35" s="24">
        <f t="shared" si="9"/>
        <v>281558.30000000005</v>
      </c>
      <c r="D35" s="33">
        <f t="shared" si="9"/>
        <v>83546.90000000001</v>
      </c>
      <c r="E35" s="49">
        <f t="shared" si="9"/>
        <v>819141.7000000001</v>
      </c>
      <c r="F35" s="28">
        <f t="shared" si="9"/>
        <v>135739.1</v>
      </c>
      <c r="G35" s="42">
        <f t="shared" si="9"/>
        <v>40626.600000000006</v>
      </c>
      <c r="H35" s="51">
        <f t="shared" si="7"/>
        <v>-620183.7999999999</v>
      </c>
      <c r="I35" s="52">
        <f t="shared" si="7"/>
        <v>-145819.20000000004</v>
      </c>
      <c r="J35" s="53">
        <f t="shared" si="7"/>
        <v>-42920.3</v>
      </c>
      <c r="K35" s="44">
        <f>E35/B35*100</f>
        <v>56.9114977814261</v>
      </c>
      <c r="L35" s="44">
        <f>F35/C35*100</f>
        <v>48.2099444413466</v>
      </c>
      <c r="M35" s="18">
        <f>G35/D35*100</f>
        <v>48.627297960786095</v>
      </c>
      <c r="N35" s="49">
        <f t="shared" si="6"/>
        <v>56.9114977814261</v>
      </c>
      <c r="O35" s="52">
        <f t="shared" si="6"/>
        <v>48.2099444413466</v>
      </c>
      <c r="P35" s="55">
        <f t="shared" si="6"/>
        <v>48.627297960786095</v>
      </c>
      <c r="Q35" s="43"/>
    </row>
    <row r="36" spans="8:17" ht="12.75">
      <c r="H36" s="43"/>
      <c r="I36" s="43"/>
      <c r="J36" s="43"/>
      <c r="Q36" s="43"/>
    </row>
    <row r="37" spans="1:16" ht="12.75">
      <c r="A37" t="s">
        <v>44</v>
      </c>
      <c r="B37" s="58"/>
      <c r="C37" s="58"/>
      <c r="D37" s="5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2:8" ht="12.75">
      <c r="B38" s="43"/>
      <c r="C38" s="43"/>
      <c r="D38" s="43"/>
      <c r="E38" s="43"/>
      <c r="F38" s="43"/>
      <c r="G38" s="43"/>
      <c r="H38" s="43"/>
    </row>
    <row r="39" ht="12.75">
      <c r="E39" s="50"/>
    </row>
    <row r="41" spans="6:8" ht="12.75">
      <c r="F41" s="43"/>
      <c r="H41" s="43"/>
    </row>
  </sheetData>
  <sheetProtection/>
  <mergeCells count="6">
    <mergeCell ref="A2:P2"/>
    <mergeCell ref="B4:D4"/>
    <mergeCell ref="E4:G4"/>
    <mergeCell ref="H4:J4"/>
    <mergeCell ref="K4:M4"/>
    <mergeCell ref="N4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41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32.75390625" style="0" customWidth="1"/>
    <col min="2" max="2" width="11.125" style="0" customWidth="1"/>
    <col min="3" max="4" width="9.875" style="0" customWidth="1"/>
    <col min="5" max="5" width="10.625" style="0" customWidth="1"/>
    <col min="6" max="6" width="10.00390625" style="0" customWidth="1"/>
    <col min="7" max="7" width="10.125" style="0" customWidth="1"/>
    <col min="8" max="8" width="11.375" style="0" customWidth="1"/>
    <col min="9" max="9" width="10.625" style="0" customWidth="1"/>
    <col min="10" max="10" width="10.125" style="0" customWidth="1"/>
    <col min="11" max="12" width="9.25390625" style="0" hidden="1" customWidth="1"/>
    <col min="13" max="13" width="0.6171875" style="0" hidden="1" customWidth="1"/>
    <col min="14" max="14" width="10.75390625" style="0" customWidth="1"/>
    <col min="15" max="15" width="10.25390625" style="0" customWidth="1"/>
    <col min="16" max="16" width="9.75390625" style="0" customWidth="1"/>
    <col min="17" max="17" width="11.625" style="0" customWidth="1"/>
  </cols>
  <sheetData>
    <row r="2" spans="1:16" ht="18.75" customHeight="1">
      <c r="A2" s="62" t="s">
        <v>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4" spans="1:16" ht="15.75">
      <c r="A4" s="2" t="s">
        <v>12</v>
      </c>
      <c r="B4" s="64" t="s">
        <v>38</v>
      </c>
      <c r="C4" s="65"/>
      <c r="D4" s="66"/>
      <c r="E4" s="64" t="s">
        <v>34</v>
      </c>
      <c r="F4" s="65"/>
      <c r="G4" s="66"/>
      <c r="H4" s="64" t="s">
        <v>35</v>
      </c>
      <c r="I4" s="65"/>
      <c r="J4" s="66"/>
      <c r="K4" s="64" t="s">
        <v>27</v>
      </c>
      <c r="L4" s="65"/>
      <c r="M4" s="66"/>
      <c r="N4" s="64" t="s">
        <v>27</v>
      </c>
      <c r="O4" s="65"/>
      <c r="P4" s="66"/>
    </row>
    <row r="5" spans="1:16" ht="29.25" customHeight="1">
      <c r="A5" s="3"/>
      <c r="B5" s="1" t="s">
        <v>25</v>
      </c>
      <c r="C5" s="1" t="s">
        <v>26</v>
      </c>
      <c r="D5" s="5" t="s">
        <v>28</v>
      </c>
      <c r="E5" s="1" t="s">
        <v>25</v>
      </c>
      <c r="F5" s="1" t="s">
        <v>26</v>
      </c>
      <c r="G5" s="1" t="s">
        <v>28</v>
      </c>
      <c r="H5" s="1" t="s">
        <v>25</v>
      </c>
      <c r="I5" s="1" t="s">
        <v>26</v>
      </c>
      <c r="J5" s="1" t="s">
        <v>28</v>
      </c>
      <c r="K5" s="1" t="s">
        <v>25</v>
      </c>
      <c r="L5" s="1" t="s">
        <v>26</v>
      </c>
      <c r="M5" s="1" t="s">
        <v>28</v>
      </c>
      <c r="N5" s="1" t="s">
        <v>25</v>
      </c>
      <c r="O5" s="1" t="s">
        <v>26</v>
      </c>
      <c r="P5" s="1" t="s">
        <v>28</v>
      </c>
    </row>
    <row r="6" spans="1:16" ht="12.75">
      <c r="A6" s="5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11</v>
      </c>
      <c r="O6" s="4">
        <v>12</v>
      </c>
      <c r="P6" s="4">
        <v>13</v>
      </c>
    </row>
    <row r="7" spans="1:19" ht="13.5" customHeight="1">
      <c r="A7" s="7" t="s">
        <v>0</v>
      </c>
      <c r="B7" s="36">
        <v>241658.6</v>
      </c>
      <c r="C7" s="20">
        <v>80380.1</v>
      </c>
      <c r="D7" s="29">
        <v>9505.4</v>
      </c>
      <c r="E7" s="36">
        <v>144407.1</v>
      </c>
      <c r="F7" s="20">
        <v>46165.5</v>
      </c>
      <c r="G7" s="29">
        <v>6904</v>
      </c>
      <c r="H7" s="36">
        <f>E7-B7</f>
        <v>-97251.5</v>
      </c>
      <c r="I7" s="20">
        <f>F7-C7</f>
        <v>-34214.600000000006</v>
      </c>
      <c r="J7" s="29">
        <f>G7-D7</f>
        <v>-2601.3999999999996</v>
      </c>
      <c r="K7" s="15">
        <f aca="true" t="shared" si="0" ref="K7:M9">E7/B7*100</f>
        <v>59.75665670495485</v>
      </c>
      <c r="L7" s="15">
        <f t="shared" si="0"/>
        <v>57.43399174671342</v>
      </c>
      <c r="M7" s="15">
        <f t="shared" si="0"/>
        <v>72.63239842615776</v>
      </c>
      <c r="N7" s="36">
        <f>E7/B7*100</f>
        <v>59.75665670495485</v>
      </c>
      <c r="O7" s="20">
        <f>F7/C7*100</f>
        <v>57.43399174671342</v>
      </c>
      <c r="P7" s="29">
        <f>G7/D7*100</f>
        <v>72.63239842615776</v>
      </c>
      <c r="Q7" s="43"/>
      <c r="R7" s="43"/>
      <c r="S7" s="43"/>
    </row>
    <row r="8" spans="1:17" ht="12.75">
      <c r="A8" s="7" t="s">
        <v>23</v>
      </c>
      <c r="B8" s="36">
        <v>5275.7</v>
      </c>
      <c r="C8" s="20">
        <v>3709.7</v>
      </c>
      <c r="D8" s="29">
        <v>3351.8</v>
      </c>
      <c r="E8" s="36">
        <v>3826.6</v>
      </c>
      <c r="F8" s="20">
        <v>2661.6</v>
      </c>
      <c r="G8" s="29">
        <v>2431.1</v>
      </c>
      <c r="H8" s="36">
        <f aca="true" t="shared" si="1" ref="H8:J29">E8-B8</f>
        <v>-1449.1</v>
      </c>
      <c r="I8" s="20">
        <f t="shared" si="1"/>
        <v>-1048.1</v>
      </c>
      <c r="J8" s="29">
        <f t="shared" si="1"/>
        <v>-920.7000000000003</v>
      </c>
      <c r="K8" s="15">
        <f t="shared" si="0"/>
        <v>72.53255492162177</v>
      </c>
      <c r="L8" s="15">
        <f t="shared" si="0"/>
        <v>71.74704153974714</v>
      </c>
      <c r="M8" s="15">
        <f t="shared" si="0"/>
        <v>72.53117727788053</v>
      </c>
      <c r="N8" s="36">
        <f aca="true" t="shared" si="2" ref="N8:P27">E8/B8*100</f>
        <v>72.53255492162177</v>
      </c>
      <c r="O8" s="20">
        <f t="shared" si="2"/>
        <v>71.74704153974714</v>
      </c>
      <c r="P8" s="29">
        <f t="shared" si="2"/>
        <v>72.53117727788053</v>
      </c>
      <c r="Q8" s="43"/>
    </row>
    <row r="9" spans="1:17" ht="15.75" customHeight="1">
      <c r="A9" s="7" t="s">
        <v>1</v>
      </c>
      <c r="B9" s="36">
        <v>21178.8</v>
      </c>
      <c r="C9" s="20">
        <v>2150</v>
      </c>
      <c r="D9" s="29">
        <v>169.5</v>
      </c>
      <c r="E9" s="36">
        <v>12451.8</v>
      </c>
      <c r="F9" s="20">
        <v>1298.8</v>
      </c>
      <c r="G9" s="29">
        <v>84.8</v>
      </c>
      <c r="H9" s="36">
        <f t="shared" si="1"/>
        <v>-8727</v>
      </c>
      <c r="I9" s="20">
        <f t="shared" si="1"/>
        <v>-851.2</v>
      </c>
      <c r="J9" s="29">
        <f t="shared" si="1"/>
        <v>-84.7</v>
      </c>
      <c r="K9" s="15">
        <f t="shared" si="0"/>
        <v>58.7936993597371</v>
      </c>
      <c r="L9" s="15">
        <f t="shared" si="0"/>
        <v>60.40930232558139</v>
      </c>
      <c r="M9" s="15">
        <f t="shared" si="0"/>
        <v>50.02949852507375</v>
      </c>
      <c r="N9" s="36">
        <f t="shared" si="2"/>
        <v>58.7936993597371</v>
      </c>
      <c r="O9" s="20">
        <f t="shared" si="2"/>
        <v>60.40930232558139</v>
      </c>
      <c r="P9" s="29">
        <f t="shared" si="2"/>
        <v>50.02949852507375</v>
      </c>
      <c r="Q9" s="43"/>
    </row>
    <row r="10" spans="1:17" ht="15" customHeight="1">
      <c r="A10" s="7" t="s">
        <v>2</v>
      </c>
      <c r="B10" s="36">
        <v>0</v>
      </c>
      <c r="C10" s="20">
        <v>190</v>
      </c>
      <c r="D10" s="29">
        <v>10</v>
      </c>
      <c r="E10" s="36"/>
      <c r="F10" s="20">
        <v>814.7</v>
      </c>
      <c r="G10" s="29">
        <v>17.5</v>
      </c>
      <c r="H10" s="36">
        <f t="shared" si="1"/>
        <v>0</v>
      </c>
      <c r="I10" s="20">
        <f t="shared" si="1"/>
        <v>624.7</v>
      </c>
      <c r="J10" s="29">
        <f t="shared" si="1"/>
        <v>7.5</v>
      </c>
      <c r="K10" s="15">
        <v>0</v>
      </c>
      <c r="L10" s="15">
        <f>F10/C10*100</f>
        <v>428.7894736842105</v>
      </c>
      <c r="M10" s="15">
        <f>G10/D10*100</f>
        <v>175</v>
      </c>
      <c r="N10" s="36">
        <v>0</v>
      </c>
      <c r="O10" s="20">
        <f t="shared" si="2"/>
        <v>428.7894736842105</v>
      </c>
      <c r="P10" s="29">
        <f t="shared" si="2"/>
        <v>175</v>
      </c>
      <c r="Q10" s="43"/>
    </row>
    <row r="11" spans="1:17" ht="24" customHeight="1">
      <c r="A11" s="7" t="s">
        <v>22</v>
      </c>
      <c r="B11" s="36">
        <v>595</v>
      </c>
      <c r="C11" s="20">
        <v>0</v>
      </c>
      <c r="D11" s="29">
        <v>0</v>
      </c>
      <c r="E11" s="36">
        <v>593.6</v>
      </c>
      <c r="F11" s="20">
        <v>0</v>
      </c>
      <c r="G11" s="29">
        <v>0</v>
      </c>
      <c r="H11" s="36">
        <f t="shared" si="1"/>
        <v>-1.3999999999999773</v>
      </c>
      <c r="I11" s="20">
        <f t="shared" si="1"/>
        <v>0</v>
      </c>
      <c r="J11" s="29">
        <f t="shared" si="1"/>
        <v>0</v>
      </c>
      <c r="K11" s="15">
        <f>E11/B11*100</f>
        <v>99.76470588235294</v>
      </c>
      <c r="L11" s="15">
        <v>0</v>
      </c>
      <c r="M11" s="15">
        <v>0</v>
      </c>
      <c r="N11" s="36">
        <f t="shared" si="2"/>
        <v>99.76470588235294</v>
      </c>
      <c r="O11" s="20">
        <v>0</v>
      </c>
      <c r="P11" s="29">
        <v>0</v>
      </c>
      <c r="Q11" s="43"/>
    </row>
    <row r="12" spans="1:17" ht="14.25" customHeight="1">
      <c r="A12" s="57" t="s">
        <v>16</v>
      </c>
      <c r="B12" s="36">
        <v>0</v>
      </c>
      <c r="C12" s="20">
        <v>23723.4</v>
      </c>
      <c r="D12" s="29">
        <v>3200</v>
      </c>
      <c r="E12" s="36">
        <v>0</v>
      </c>
      <c r="F12" s="20">
        <v>6327.2</v>
      </c>
      <c r="G12" s="29">
        <v>800.8</v>
      </c>
      <c r="H12" s="36">
        <f t="shared" si="1"/>
        <v>0</v>
      </c>
      <c r="I12" s="20">
        <f t="shared" si="1"/>
        <v>-17396.2</v>
      </c>
      <c r="J12" s="29">
        <f t="shared" si="1"/>
        <v>-2399.2</v>
      </c>
      <c r="K12" s="15">
        <v>0</v>
      </c>
      <c r="L12" s="15">
        <f aca="true" t="shared" si="3" ref="L12:M15">F12/C12*100</f>
        <v>26.67071330416382</v>
      </c>
      <c r="M12" s="15">
        <f t="shared" si="3"/>
        <v>25.025</v>
      </c>
      <c r="N12" s="36">
        <v>0</v>
      </c>
      <c r="O12" s="20">
        <f t="shared" si="2"/>
        <v>26.67071330416382</v>
      </c>
      <c r="P12" s="29">
        <f t="shared" si="2"/>
        <v>25.025</v>
      </c>
      <c r="Q12" s="43"/>
    </row>
    <row r="13" spans="1:17" ht="15" customHeight="1">
      <c r="A13" s="7" t="s">
        <v>18</v>
      </c>
      <c r="B13" s="36">
        <v>7336.8</v>
      </c>
      <c r="C13" s="20">
        <v>7800</v>
      </c>
      <c r="D13" s="29">
        <v>139.9</v>
      </c>
      <c r="E13" s="36">
        <v>5376.5</v>
      </c>
      <c r="F13" s="26">
        <v>5298.7</v>
      </c>
      <c r="G13" s="35">
        <v>77.8</v>
      </c>
      <c r="H13" s="36">
        <f t="shared" si="1"/>
        <v>-1960.3000000000002</v>
      </c>
      <c r="I13" s="20">
        <f t="shared" si="1"/>
        <v>-2501.3</v>
      </c>
      <c r="J13" s="29">
        <f t="shared" si="1"/>
        <v>-62.10000000000001</v>
      </c>
      <c r="K13" s="15">
        <f>E13/B13*100</f>
        <v>73.2812670374005</v>
      </c>
      <c r="L13" s="15">
        <f t="shared" si="3"/>
        <v>67.93205128205128</v>
      </c>
      <c r="M13" s="15">
        <f t="shared" si="3"/>
        <v>55.61115082201572</v>
      </c>
      <c r="N13" s="36">
        <f t="shared" si="2"/>
        <v>73.2812670374005</v>
      </c>
      <c r="O13" s="20">
        <f t="shared" si="2"/>
        <v>67.93205128205128</v>
      </c>
      <c r="P13" s="29">
        <f t="shared" si="2"/>
        <v>55.61115082201572</v>
      </c>
      <c r="Q13" s="43"/>
    </row>
    <row r="14" spans="1:17" ht="15" customHeight="1">
      <c r="A14" s="57" t="s">
        <v>19</v>
      </c>
      <c r="B14" s="36">
        <v>24387</v>
      </c>
      <c r="C14" s="20">
        <v>18500</v>
      </c>
      <c r="D14" s="29">
        <v>2650.7</v>
      </c>
      <c r="E14" s="36">
        <v>8226.5</v>
      </c>
      <c r="F14" s="20">
        <v>6933.6</v>
      </c>
      <c r="G14" s="35">
        <v>1292.9</v>
      </c>
      <c r="H14" s="36">
        <f t="shared" si="1"/>
        <v>-16160.5</v>
      </c>
      <c r="I14" s="20">
        <f t="shared" si="1"/>
        <v>-11566.4</v>
      </c>
      <c r="J14" s="29">
        <f t="shared" si="1"/>
        <v>-1357.7999999999997</v>
      </c>
      <c r="K14" s="15">
        <f>E14/B14*100</f>
        <v>33.73313650715545</v>
      </c>
      <c r="L14" s="15">
        <f t="shared" si="3"/>
        <v>37.47891891891892</v>
      </c>
      <c r="M14" s="15">
        <f t="shared" si="3"/>
        <v>48.77579507299959</v>
      </c>
      <c r="N14" s="36">
        <f t="shared" si="2"/>
        <v>33.73313650715545</v>
      </c>
      <c r="O14" s="20">
        <f t="shared" si="2"/>
        <v>37.47891891891892</v>
      </c>
      <c r="P14" s="29">
        <f t="shared" si="2"/>
        <v>48.77579507299959</v>
      </c>
      <c r="Q14" s="43"/>
    </row>
    <row r="15" spans="1:17" ht="15.75" customHeight="1">
      <c r="A15" s="7" t="s">
        <v>8</v>
      </c>
      <c r="B15" s="36">
        <v>0</v>
      </c>
      <c r="C15" s="20">
        <v>55210</v>
      </c>
      <c r="D15" s="29">
        <v>14601.5</v>
      </c>
      <c r="E15" s="36">
        <v>0</v>
      </c>
      <c r="F15" s="20">
        <v>36070.9</v>
      </c>
      <c r="G15" s="29">
        <v>7653.9</v>
      </c>
      <c r="H15" s="36">
        <f t="shared" si="1"/>
        <v>0</v>
      </c>
      <c r="I15" s="20">
        <f t="shared" si="1"/>
        <v>-19139.1</v>
      </c>
      <c r="J15" s="29">
        <f t="shared" si="1"/>
        <v>-6947.6</v>
      </c>
      <c r="K15" s="15">
        <v>0</v>
      </c>
      <c r="L15" s="15">
        <f t="shared" si="3"/>
        <v>65.3339974642275</v>
      </c>
      <c r="M15" s="15">
        <f t="shared" si="3"/>
        <v>52.41858713145909</v>
      </c>
      <c r="N15" s="36">
        <v>0</v>
      </c>
      <c r="O15" s="20">
        <f t="shared" si="2"/>
        <v>65.3339974642275</v>
      </c>
      <c r="P15" s="29">
        <f t="shared" si="2"/>
        <v>52.41858713145909</v>
      </c>
      <c r="Q15" s="43"/>
    </row>
    <row r="16" spans="1:17" ht="15" customHeight="1">
      <c r="A16" s="7" t="s">
        <v>3</v>
      </c>
      <c r="B16" s="36">
        <v>8451.2</v>
      </c>
      <c r="C16" s="20">
        <v>0</v>
      </c>
      <c r="D16" s="29">
        <v>63.5</v>
      </c>
      <c r="E16" s="36">
        <v>5730.2</v>
      </c>
      <c r="F16" s="20">
        <v>0</v>
      </c>
      <c r="G16" s="29">
        <v>29.6</v>
      </c>
      <c r="H16" s="36">
        <f t="shared" si="1"/>
        <v>-2721.000000000001</v>
      </c>
      <c r="I16" s="20">
        <f t="shared" si="1"/>
        <v>0</v>
      </c>
      <c r="J16" s="29">
        <f t="shared" si="1"/>
        <v>-33.9</v>
      </c>
      <c r="K16" s="15">
        <f>E16/B16*100</f>
        <v>67.80338886785307</v>
      </c>
      <c r="L16" s="15">
        <v>0</v>
      </c>
      <c r="M16" s="15">
        <f>G16/D16*100</f>
        <v>46.61417322834646</v>
      </c>
      <c r="N16" s="36">
        <f t="shared" si="2"/>
        <v>67.80338886785307</v>
      </c>
      <c r="O16" s="20">
        <v>0</v>
      </c>
      <c r="P16" s="29">
        <f t="shared" si="2"/>
        <v>46.61417322834646</v>
      </c>
      <c r="Q16" s="43"/>
    </row>
    <row r="17" spans="1:17" ht="15" customHeight="1">
      <c r="A17" s="59" t="s">
        <v>33</v>
      </c>
      <c r="B17" s="36">
        <v>0</v>
      </c>
      <c r="C17" s="20">
        <v>0</v>
      </c>
      <c r="D17" s="29">
        <v>0</v>
      </c>
      <c r="E17" s="36">
        <v>0</v>
      </c>
      <c r="F17" s="20">
        <v>0</v>
      </c>
      <c r="G17" s="29">
        <v>0</v>
      </c>
      <c r="H17" s="36">
        <f t="shared" si="1"/>
        <v>0</v>
      </c>
      <c r="I17" s="20">
        <f t="shared" si="1"/>
        <v>0</v>
      </c>
      <c r="J17" s="29">
        <f t="shared" si="1"/>
        <v>0</v>
      </c>
      <c r="K17" s="15">
        <v>0</v>
      </c>
      <c r="L17" s="15">
        <v>0</v>
      </c>
      <c r="M17" s="15">
        <v>0</v>
      </c>
      <c r="N17" s="36">
        <v>0</v>
      </c>
      <c r="O17" s="20">
        <v>0</v>
      </c>
      <c r="P17" s="29">
        <v>0</v>
      </c>
      <c r="Q17" s="43"/>
    </row>
    <row r="18" spans="1:17" ht="16.5" customHeight="1">
      <c r="A18" s="59" t="s">
        <v>13</v>
      </c>
      <c r="B18" s="36">
        <v>47768</v>
      </c>
      <c r="C18" s="20">
        <f>14600+454</f>
        <v>15054</v>
      </c>
      <c r="D18" s="29">
        <v>0</v>
      </c>
      <c r="E18" s="36">
        <v>25066.6</v>
      </c>
      <c r="F18" s="20">
        <v>10626</v>
      </c>
      <c r="G18" s="29">
        <v>0</v>
      </c>
      <c r="H18" s="36">
        <f t="shared" si="1"/>
        <v>-22701.4</v>
      </c>
      <c r="I18" s="20">
        <f t="shared" si="1"/>
        <v>-4428</v>
      </c>
      <c r="J18" s="29">
        <f t="shared" si="1"/>
        <v>0</v>
      </c>
      <c r="K18" s="15">
        <f aca="true" t="shared" si="4" ref="K18:L27">E18/B18*100</f>
        <v>52.47571596047563</v>
      </c>
      <c r="L18" s="15">
        <f t="shared" si="4"/>
        <v>70.58589079314469</v>
      </c>
      <c r="M18" s="15">
        <v>0</v>
      </c>
      <c r="N18" s="36">
        <f t="shared" si="2"/>
        <v>52.47571596047563</v>
      </c>
      <c r="O18" s="20">
        <f t="shared" si="2"/>
        <v>70.58589079314469</v>
      </c>
      <c r="P18" s="29">
        <v>0</v>
      </c>
      <c r="Q18" s="43"/>
    </row>
    <row r="19" spans="1:17" ht="15" customHeight="1">
      <c r="A19" s="57" t="s">
        <v>4</v>
      </c>
      <c r="B19" s="36">
        <v>4500</v>
      </c>
      <c r="C19" s="20">
        <v>2782</v>
      </c>
      <c r="D19" s="29">
        <v>531.8</v>
      </c>
      <c r="E19" s="36">
        <v>3357.9</v>
      </c>
      <c r="F19" s="20">
        <v>1828.6</v>
      </c>
      <c r="G19" s="29">
        <v>240.2</v>
      </c>
      <c r="H19" s="36">
        <f t="shared" si="1"/>
        <v>-1142.1</v>
      </c>
      <c r="I19" s="20">
        <f t="shared" si="1"/>
        <v>-953.4000000000001</v>
      </c>
      <c r="J19" s="29">
        <f t="shared" si="1"/>
        <v>-291.59999999999997</v>
      </c>
      <c r="K19" s="15">
        <f t="shared" si="4"/>
        <v>74.62</v>
      </c>
      <c r="L19" s="15">
        <f t="shared" si="4"/>
        <v>65.72969086987777</v>
      </c>
      <c r="M19" s="15">
        <f>G19/D19*100</f>
        <v>45.16735614892817</v>
      </c>
      <c r="N19" s="36">
        <f t="shared" si="2"/>
        <v>74.62</v>
      </c>
      <c r="O19" s="20">
        <f t="shared" si="2"/>
        <v>65.72969086987777</v>
      </c>
      <c r="P19" s="29">
        <f t="shared" si="2"/>
        <v>45.16735614892817</v>
      </c>
      <c r="Q19" s="43"/>
    </row>
    <row r="20" spans="1:17" ht="27" customHeight="1">
      <c r="A20" s="59" t="s">
        <v>24</v>
      </c>
      <c r="B20" s="36">
        <f>667+101.6</f>
        <v>768.6</v>
      </c>
      <c r="C20" s="20">
        <f>235.8+2944.5</f>
        <v>3180.3</v>
      </c>
      <c r="D20" s="29">
        <v>15</v>
      </c>
      <c r="E20" s="36">
        <f>336.3+76</f>
        <v>412.3</v>
      </c>
      <c r="F20" s="20">
        <f>75.4+1608.7+428.4</f>
        <v>2112.5</v>
      </c>
      <c r="G20" s="29">
        <v>15</v>
      </c>
      <c r="H20" s="36">
        <f t="shared" si="1"/>
        <v>-356.3</v>
      </c>
      <c r="I20" s="20">
        <f t="shared" si="1"/>
        <v>-1067.8000000000002</v>
      </c>
      <c r="J20" s="29">
        <f t="shared" si="1"/>
        <v>0</v>
      </c>
      <c r="K20" s="15">
        <f t="shared" si="4"/>
        <v>53.642987249544625</v>
      </c>
      <c r="L20" s="15">
        <f t="shared" si="4"/>
        <v>66.42455114297393</v>
      </c>
      <c r="M20" s="15">
        <v>0</v>
      </c>
      <c r="N20" s="36">
        <f t="shared" si="2"/>
        <v>53.642987249544625</v>
      </c>
      <c r="O20" s="20">
        <f t="shared" si="2"/>
        <v>66.42455114297393</v>
      </c>
      <c r="P20" s="29">
        <v>0</v>
      </c>
      <c r="Q20" s="43"/>
    </row>
    <row r="21" spans="1:17" ht="16.5" customHeight="1">
      <c r="A21" s="57" t="s">
        <v>5</v>
      </c>
      <c r="B21" s="36">
        <v>6866</v>
      </c>
      <c r="C21" s="20">
        <v>0</v>
      </c>
      <c r="D21" s="29">
        <v>0</v>
      </c>
      <c r="E21" s="36">
        <v>2915.8</v>
      </c>
      <c r="F21" s="20">
        <v>0</v>
      </c>
      <c r="G21" s="29">
        <v>0</v>
      </c>
      <c r="H21" s="36">
        <f t="shared" si="1"/>
        <v>-3950.2</v>
      </c>
      <c r="I21" s="20">
        <f t="shared" si="1"/>
        <v>0</v>
      </c>
      <c r="J21" s="29">
        <f t="shared" si="1"/>
        <v>0</v>
      </c>
      <c r="K21" s="15">
        <f t="shared" si="4"/>
        <v>42.467229828138656</v>
      </c>
      <c r="L21" s="15">
        <v>0</v>
      </c>
      <c r="M21" s="15">
        <v>0</v>
      </c>
      <c r="N21" s="36">
        <f t="shared" si="2"/>
        <v>42.467229828138656</v>
      </c>
      <c r="O21" s="20">
        <v>0</v>
      </c>
      <c r="P21" s="29">
        <v>0</v>
      </c>
      <c r="Q21" s="43"/>
    </row>
    <row r="22" spans="1:17" ht="15.75" customHeight="1">
      <c r="A22" s="57" t="s">
        <v>20</v>
      </c>
      <c r="B22" s="36">
        <v>2998</v>
      </c>
      <c r="C22" s="20">
        <v>276.2</v>
      </c>
      <c r="D22" s="29">
        <v>0</v>
      </c>
      <c r="E22" s="36">
        <v>1374.7</v>
      </c>
      <c r="F22" s="20">
        <v>438.2</v>
      </c>
      <c r="G22" s="29">
        <v>11.3</v>
      </c>
      <c r="H22" s="36">
        <f t="shared" si="1"/>
        <v>-1623.3</v>
      </c>
      <c r="I22" s="20">
        <f t="shared" si="1"/>
        <v>162</v>
      </c>
      <c r="J22" s="29">
        <f t="shared" si="1"/>
        <v>11.3</v>
      </c>
      <c r="K22" s="15">
        <f t="shared" si="4"/>
        <v>45.85390260173449</v>
      </c>
      <c r="L22" s="15">
        <f>F22/C22*100</f>
        <v>158.65314989138307</v>
      </c>
      <c r="M22" s="15">
        <v>0</v>
      </c>
      <c r="N22" s="36">
        <f t="shared" si="2"/>
        <v>45.85390260173449</v>
      </c>
      <c r="O22" s="20">
        <f t="shared" si="2"/>
        <v>158.65314989138307</v>
      </c>
      <c r="P22" s="29">
        <v>0</v>
      </c>
      <c r="Q22" s="43"/>
    </row>
    <row r="23" spans="1:17" ht="15" customHeight="1">
      <c r="A23" s="57" t="s">
        <v>6</v>
      </c>
      <c r="B23" s="36">
        <v>103.5</v>
      </c>
      <c r="C23" s="20">
        <v>0</v>
      </c>
      <c r="D23" s="29">
        <v>0</v>
      </c>
      <c r="E23" s="36">
        <v>98.4</v>
      </c>
      <c r="F23" s="20">
        <v>0</v>
      </c>
      <c r="G23" s="29">
        <v>0</v>
      </c>
      <c r="H23" s="36">
        <f t="shared" si="1"/>
        <v>-5.099999999999994</v>
      </c>
      <c r="I23" s="20">
        <f t="shared" si="1"/>
        <v>0</v>
      </c>
      <c r="J23" s="29">
        <f t="shared" si="1"/>
        <v>0</v>
      </c>
      <c r="K23" s="15">
        <f t="shared" si="4"/>
        <v>95.07246376811594</v>
      </c>
      <c r="L23" s="15" t="e">
        <f>F23/C23*100</f>
        <v>#DIV/0!</v>
      </c>
      <c r="M23" s="15">
        <v>0</v>
      </c>
      <c r="N23" s="36">
        <f t="shared" si="2"/>
        <v>95.07246376811594</v>
      </c>
      <c r="O23" s="20">
        <v>0</v>
      </c>
      <c r="P23" s="29">
        <v>0</v>
      </c>
      <c r="Q23" s="43"/>
    </row>
    <row r="24" spans="1:17" ht="15.75" customHeight="1">
      <c r="A24" s="57" t="s">
        <v>29</v>
      </c>
      <c r="B24" s="36">
        <v>1594</v>
      </c>
      <c r="C24" s="20">
        <v>7298.7</v>
      </c>
      <c r="D24" s="29">
        <v>2222.9</v>
      </c>
      <c r="E24" s="36">
        <v>135.5</v>
      </c>
      <c r="F24" s="20">
        <v>1115.9</v>
      </c>
      <c r="G24" s="29">
        <v>25.5</v>
      </c>
      <c r="H24" s="36">
        <f t="shared" si="1"/>
        <v>-1458.5</v>
      </c>
      <c r="I24" s="20">
        <f t="shared" si="1"/>
        <v>-6182.799999999999</v>
      </c>
      <c r="J24" s="29">
        <f t="shared" si="1"/>
        <v>-2197.4</v>
      </c>
      <c r="K24" s="15">
        <f t="shared" si="4"/>
        <v>8.500627352572145</v>
      </c>
      <c r="L24" s="15">
        <f>F24/C24*100</f>
        <v>15.289024072780085</v>
      </c>
      <c r="M24" s="15">
        <f>G24/D24*100</f>
        <v>1.1471501192136397</v>
      </c>
      <c r="N24" s="36">
        <v>0</v>
      </c>
      <c r="O24" s="20">
        <f t="shared" si="2"/>
        <v>15.289024072780085</v>
      </c>
      <c r="P24" s="29">
        <f t="shared" si="2"/>
        <v>1.1471501192136397</v>
      </c>
      <c r="Q24" s="43"/>
    </row>
    <row r="25" spans="1:17" ht="27" customHeight="1">
      <c r="A25" s="57" t="s">
        <v>17</v>
      </c>
      <c r="B25" s="36">
        <f>4817.3+330</f>
        <v>5147.3</v>
      </c>
      <c r="C25" s="20">
        <f>8349.3+385</f>
        <v>8734.3</v>
      </c>
      <c r="D25" s="29">
        <v>60.3</v>
      </c>
      <c r="E25" s="36">
        <v>6232.9</v>
      </c>
      <c r="F25" s="20">
        <f>6815.1+103.1</f>
        <v>6918.200000000001</v>
      </c>
      <c r="G25" s="29">
        <v>-130.1</v>
      </c>
      <c r="H25" s="36">
        <f t="shared" si="1"/>
        <v>1085.5999999999995</v>
      </c>
      <c r="I25" s="20">
        <f t="shared" si="1"/>
        <v>-1816.0999999999985</v>
      </c>
      <c r="J25" s="29">
        <f t="shared" si="1"/>
        <v>-190.39999999999998</v>
      </c>
      <c r="K25" s="15">
        <f t="shared" si="4"/>
        <v>121.09066889437179</v>
      </c>
      <c r="L25" s="15">
        <f>F25/C25*100</f>
        <v>79.20726331818236</v>
      </c>
      <c r="M25" s="15">
        <v>0</v>
      </c>
      <c r="N25" s="36">
        <f t="shared" si="2"/>
        <v>121.09066889437179</v>
      </c>
      <c r="O25" s="20">
        <f t="shared" si="2"/>
        <v>79.20726331818236</v>
      </c>
      <c r="P25" s="29">
        <v>0</v>
      </c>
      <c r="Q25" s="43"/>
    </row>
    <row r="26" spans="1:17" ht="16.5" customHeight="1">
      <c r="A26" s="7" t="s">
        <v>7</v>
      </c>
      <c r="B26" s="36">
        <v>9956.8</v>
      </c>
      <c r="C26" s="20">
        <v>297.2</v>
      </c>
      <c r="D26" s="29">
        <v>50.9</v>
      </c>
      <c r="E26" s="48">
        <v>8818.9</v>
      </c>
      <c r="F26" s="26">
        <v>607</v>
      </c>
      <c r="G26" s="35">
        <v>140.9</v>
      </c>
      <c r="H26" s="36">
        <f t="shared" si="1"/>
        <v>-1137.8999999999996</v>
      </c>
      <c r="I26" s="20">
        <f t="shared" si="1"/>
        <v>309.8</v>
      </c>
      <c r="J26" s="29">
        <f t="shared" si="1"/>
        <v>90</v>
      </c>
      <c r="K26" s="15">
        <f t="shared" si="4"/>
        <v>88.57162943917724</v>
      </c>
      <c r="L26" s="15">
        <f>F26/C26*100</f>
        <v>204.23956931359353</v>
      </c>
      <c r="M26" s="15">
        <f>G26/D26*100</f>
        <v>276.81728880157175</v>
      </c>
      <c r="N26" s="36">
        <f t="shared" si="2"/>
        <v>88.57162943917724</v>
      </c>
      <c r="O26" s="20">
        <f t="shared" si="2"/>
        <v>204.23956931359353</v>
      </c>
      <c r="P26" s="29">
        <f t="shared" si="2"/>
        <v>276.81728880157175</v>
      </c>
      <c r="Q26" s="43"/>
    </row>
    <row r="27" spans="1:17" ht="14.25" customHeight="1">
      <c r="A27" s="7" t="s">
        <v>9</v>
      </c>
      <c r="B27" s="36">
        <v>135.5</v>
      </c>
      <c r="C27" s="20">
        <v>26.4</v>
      </c>
      <c r="D27" s="29">
        <v>74.6</v>
      </c>
      <c r="E27" s="36">
        <v>96.5</v>
      </c>
      <c r="F27" s="20">
        <v>87.2</v>
      </c>
      <c r="G27" s="29">
        <f>46+147.8</f>
        <v>193.8</v>
      </c>
      <c r="H27" s="36">
        <f t="shared" si="1"/>
        <v>-39</v>
      </c>
      <c r="I27" s="20">
        <f t="shared" si="1"/>
        <v>60.800000000000004</v>
      </c>
      <c r="J27" s="29">
        <f t="shared" si="1"/>
        <v>119.20000000000002</v>
      </c>
      <c r="K27" s="15">
        <f t="shared" si="4"/>
        <v>71.21771217712177</v>
      </c>
      <c r="L27" s="15">
        <v>0</v>
      </c>
      <c r="M27" s="15">
        <v>0</v>
      </c>
      <c r="N27" s="36">
        <f t="shared" si="2"/>
        <v>71.21771217712177</v>
      </c>
      <c r="O27" s="20">
        <v>0</v>
      </c>
      <c r="P27" s="29">
        <f t="shared" si="2"/>
        <v>259.78552278820376</v>
      </c>
      <c r="Q27" s="43"/>
    </row>
    <row r="28" spans="1:17" ht="16.5" customHeight="1" thickBot="1">
      <c r="A28" s="8" t="s">
        <v>10</v>
      </c>
      <c r="B28" s="37">
        <v>0</v>
      </c>
      <c r="C28" s="21">
        <v>0</v>
      </c>
      <c r="D28" s="30">
        <v>0</v>
      </c>
      <c r="E28" s="37">
        <v>-19</v>
      </c>
      <c r="F28" s="25">
        <v>0</v>
      </c>
      <c r="G28" s="34">
        <v>2.2</v>
      </c>
      <c r="H28" s="37">
        <f t="shared" si="1"/>
        <v>-19</v>
      </c>
      <c r="I28" s="21">
        <f t="shared" si="1"/>
        <v>0</v>
      </c>
      <c r="J28" s="30">
        <f t="shared" si="1"/>
        <v>2.2</v>
      </c>
      <c r="K28" s="16">
        <v>0</v>
      </c>
      <c r="L28" s="16">
        <v>0</v>
      </c>
      <c r="M28" s="16">
        <v>0</v>
      </c>
      <c r="N28" s="36">
        <v>0</v>
      </c>
      <c r="O28" s="20">
        <v>0</v>
      </c>
      <c r="P28" s="29">
        <v>0</v>
      </c>
      <c r="Q28" s="43"/>
    </row>
    <row r="29" spans="1:17" ht="15" customHeight="1" thickBot="1">
      <c r="A29" s="9" t="s">
        <v>14</v>
      </c>
      <c r="B29" s="38">
        <f>B7+B8+B9+B10+B11+B13+B12+B14+B15+B16+B17+B18+B19+B20+B21+B22+B23+B24+B25+B26+B27+B28</f>
        <v>388720.8</v>
      </c>
      <c r="C29" s="22">
        <f>SUM(C7:C28)</f>
        <v>229312.30000000002</v>
      </c>
      <c r="D29" s="31">
        <f>SUM(D7:D28)</f>
        <v>36647.80000000001</v>
      </c>
      <c r="E29" s="38">
        <f>SUM(E7:E28)</f>
        <v>229102.8</v>
      </c>
      <c r="F29" s="27">
        <f>SUM(F7:F28)</f>
        <v>129304.59999999999</v>
      </c>
      <c r="G29" s="31">
        <f>SUM(G7:G28)</f>
        <v>19791.199999999997</v>
      </c>
      <c r="H29" s="51">
        <f t="shared" si="1"/>
        <v>-159618</v>
      </c>
      <c r="I29" s="52">
        <f t="shared" si="1"/>
        <v>-100007.70000000003</v>
      </c>
      <c r="J29" s="53">
        <f t="shared" si="1"/>
        <v>-16856.600000000013</v>
      </c>
      <c r="K29" s="44">
        <f aca="true" t="shared" si="5" ref="K29:M32">E29/B29*100</f>
        <v>58.93762309606277</v>
      </c>
      <c r="L29" s="44">
        <f t="shared" si="5"/>
        <v>56.38799139862972</v>
      </c>
      <c r="M29" s="18">
        <f t="shared" si="5"/>
        <v>54.0037874033366</v>
      </c>
      <c r="N29" s="49">
        <f aca="true" t="shared" si="6" ref="N29:P35">E29/B29*100</f>
        <v>58.93762309606277</v>
      </c>
      <c r="O29" s="52">
        <f t="shared" si="6"/>
        <v>56.38799139862972</v>
      </c>
      <c r="P29" s="55">
        <f t="shared" si="6"/>
        <v>54.0037874033366</v>
      </c>
      <c r="Q29" s="43"/>
    </row>
    <row r="30" spans="1:17" ht="26.25" customHeight="1">
      <c r="A30" s="10" t="s">
        <v>21</v>
      </c>
      <c r="B30" s="39">
        <v>153075.8</v>
      </c>
      <c r="C30" s="23">
        <v>14436.5</v>
      </c>
      <c r="D30" s="32">
        <v>24546.5</v>
      </c>
      <c r="E30" s="39">
        <v>102050.6</v>
      </c>
      <c r="F30" s="23">
        <v>9624.5</v>
      </c>
      <c r="G30" s="32">
        <v>15947</v>
      </c>
      <c r="H30" s="39">
        <f aca="true" t="shared" si="7" ref="H30:J35">E30-B30</f>
        <v>-51025.19999999998</v>
      </c>
      <c r="I30" s="23">
        <f t="shared" si="7"/>
        <v>-4812</v>
      </c>
      <c r="J30" s="32">
        <f t="shared" si="7"/>
        <v>-8599.5</v>
      </c>
      <c r="K30" s="17">
        <f t="shared" si="5"/>
        <v>66.66671021807498</v>
      </c>
      <c r="L30" s="17">
        <f t="shared" si="5"/>
        <v>66.66782114778513</v>
      </c>
      <c r="M30" s="17">
        <f t="shared" si="5"/>
        <v>64.96649216792618</v>
      </c>
      <c r="N30" s="39">
        <f t="shared" si="6"/>
        <v>66.66671021807498</v>
      </c>
      <c r="O30" s="23">
        <f t="shared" si="6"/>
        <v>66.66782114778513</v>
      </c>
      <c r="P30" s="32">
        <f t="shared" si="6"/>
        <v>64.96649216792618</v>
      </c>
      <c r="Q30" s="43"/>
    </row>
    <row r="31" spans="1:17" ht="27.75" customHeight="1">
      <c r="A31" s="11" t="s">
        <v>32</v>
      </c>
      <c r="B31" s="36">
        <f>199827.8+608054+88985</f>
        <v>896866.8</v>
      </c>
      <c r="C31" s="20">
        <f>17977.1+1818+11539.9</f>
        <v>31335</v>
      </c>
      <c r="D31" s="29">
        <f>4504.5+787.6+16810.5</f>
        <v>22102.6</v>
      </c>
      <c r="E31" s="36">
        <v>562188.8</v>
      </c>
      <c r="F31" s="20">
        <v>7488.3</v>
      </c>
      <c r="G31" s="29">
        <v>10127.7</v>
      </c>
      <c r="H31" s="36">
        <f t="shared" si="7"/>
        <v>-334678</v>
      </c>
      <c r="I31" s="23">
        <f t="shared" si="7"/>
        <v>-23846.7</v>
      </c>
      <c r="J31" s="32">
        <f t="shared" si="7"/>
        <v>-11974.899999999998</v>
      </c>
      <c r="K31" s="17">
        <f t="shared" si="5"/>
        <v>62.68364488461386</v>
      </c>
      <c r="L31" s="15">
        <f t="shared" si="5"/>
        <v>23.897558640497845</v>
      </c>
      <c r="M31" s="15">
        <f t="shared" si="5"/>
        <v>45.82130609068617</v>
      </c>
      <c r="N31" s="36">
        <f t="shared" si="6"/>
        <v>62.68364488461386</v>
      </c>
      <c r="O31" s="20">
        <f t="shared" si="6"/>
        <v>23.897558640497845</v>
      </c>
      <c r="P31" s="29">
        <f t="shared" si="6"/>
        <v>45.82130609068617</v>
      </c>
      <c r="Q31" s="43"/>
    </row>
    <row r="32" spans="1:17" ht="18" customHeight="1" thickBot="1">
      <c r="A32" s="12" t="s">
        <v>11</v>
      </c>
      <c r="B32" s="37">
        <v>183.2</v>
      </c>
      <c r="C32" s="21">
        <v>157</v>
      </c>
      <c r="D32" s="30">
        <v>713.6</v>
      </c>
      <c r="E32" s="37">
        <v>183.2</v>
      </c>
      <c r="F32" s="21">
        <v>197.7</v>
      </c>
      <c r="G32" s="30">
        <v>713.6</v>
      </c>
      <c r="H32" s="37">
        <f t="shared" si="7"/>
        <v>0</v>
      </c>
      <c r="I32" s="25">
        <f t="shared" si="7"/>
        <v>40.69999999999999</v>
      </c>
      <c r="J32" s="34">
        <f t="shared" si="7"/>
        <v>0</v>
      </c>
      <c r="K32" s="19">
        <f t="shared" si="5"/>
        <v>100</v>
      </c>
      <c r="L32" s="16">
        <v>0</v>
      </c>
      <c r="M32" s="16">
        <f t="shared" si="5"/>
        <v>100</v>
      </c>
      <c r="N32" s="36">
        <f t="shared" si="6"/>
        <v>100</v>
      </c>
      <c r="O32" s="20">
        <f t="shared" si="6"/>
        <v>125.92356687898088</v>
      </c>
      <c r="P32" s="29">
        <f t="shared" si="6"/>
        <v>100</v>
      </c>
      <c r="Q32" s="43"/>
    </row>
    <row r="33" spans="1:17" ht="14.25" customHeight="1" thickBot="1">
      <c r="A33" s="13" t="s">
        <v>31</v>
      </c>
      <c r="B33" s="40">
        <f aca="true" t="shared" si="8" ref="B33:G33">SUM(B30:B32)</f>
        <v>1050125.8</v>
      </c>
      <c r="C33" s="24">
        <f t="shared" si="8"/>
        <v>45928.5</v>
      </c>
      <c r="D33" s="33">
        <f t="shared" si="8"/>
        <v>47362.7</v>
      </c>
      <c r="E33" s="40">
        <f t="shared" si="8"/>
        <v>664422.6</v>
      </c>
      <c r="F33" s="24">
        <f t="shared" si="8"/>
        <v>17310.5</v>
      </c>
      <c r="G33" s="33">
        <f t="shared" si="8"/>
        <v>26788.3</v>
      </c>
      <c r="H33" s="51">
        <f t="shared" si="7"/>
        <v>-385703.20000000007</v>
      </c>
      <c r="I33" s="52">
        <f t="shared" si="7"/>
        <v>-28618</v>
      </c>
      <c r="J33" s="53">
        <f t="shared" si="7"/>
        <v>-20574.399999999998</v>
      </c>
      <c r="K33" s="56">
        <f>E33/B33*100</f>
        <v>63.27076241722658</v>
      </c>
      <c r="L33" s="18">
        <f>F33/C33*100</f>
        <v>37.69010527232546</v>
      </c>
      <c r="M33" s="18">
        <f>G33/D33*100</f>
        <v>56.55990895789302</v>
      </c>
      <c r="N33" s="49">
        <f t="shared" si="6"/>
        <v>63.27076241722658</v>
      </c>
      <c r="O33" s="52">
        <f t="shared" si="6"/>
        <v>37.69010527232546</v>
      </c>
      <c r="P33" s="55">
        <f t="shared" si="6"/>
        <v>56.55990895789302</v>
      </c>
      <c r="Q33" s="43"/>
    </row>
    <row r="34" spans="1:17" ht="27" customHeight="1" thickBot="1">
      <c r="A34" s="14" t="s">
        <v>30</v>
      </c>
      <c r="B34" s="41">
        <v>478.9</v>
      </c>
      <c r="C34" s="25">
        <v>6317.5</v>
      </c>
      <c r="D34" s="34">
        <v>81.6</v>
      </c>
      <c r="E34" s="41">
        <f>1787.8-4907.7</f>
        <v>-3119.8999999999996</v>
      </c>
      <c r="F34" s="25">
        <f>6333.9-1963.3</f>
        <v>4370.599999999999</v>
      </c>
      <c r="G34" s="34">
        <f>94.3-69.5</f>
        <v>24.799999999999997</v>
      </c>
      <c r="H34" s="41">
        <f t="shared" si="7"/>
        <v>-3598.7999999999997</v>
      </c>
      <c r="I34" s="25">
        <f t="shared" si="7"/>
        <v>-1946.9000000000005</v>
      </c>
      <c r="J34" s="34">
        <f t="shared" si="7"/>
        <v>-56.8</v>
      </c>
      <c r="K34" s="45">
        <v>0</v>
      </c>
      <c r="L34" s="46">
        <v>0</v>
      </c>
      <c r="M34" s="47">
        <v>0</v>
      </c>
      <c r="N34" s="41">
        <v>0</v>
      </c>
      <c r="O34" s="25">
        <v>0</v>
      </c>
      <c r="P34" s="54">
        <v>0</v>
      </c>
      <c r="Q34" s="43"/>
    </row>
    <row r="35" spans="1:17" ht="15" customHeight="1" thickBot="1">
      <c r="A35" s="6" t="s">
        <v>15</v>
      </c>
      <c r="B35" s="40">
        <f aca="true" t="shared" si="9" ref="B35:G35">B29+B33+B34</f>
        <v>1439325.5</v>
      </c>
      <c r="C35" s="24">
        <f t="shared" si="9"/>
        <v>281558.30000000005</v>
      </c>
      <c r="D35" s="33">
        <f t="shared" si="9"/>
        <v>84092.1</v>
      </c>
      <c r="E35" s="49">
        <f t="shared" si="9"/>
        <v>890405.4999999999</v>
      </c>
      <c r="F35" s="28">
        <f t="shared" si="9"/>
        <v>150985.69999999998</v>
      </c>
      <c r="G35" s="42">
        <f t="shared" si="9"/>
        <v>46604.3</v>
      </c>
      <c r="H35" s="51">
        <f t="shared" si="7"/>
        <v>-548920.0000000001</v>
      </c>
      <c r="I35" s="52">
        <f t="shared" si="7"/>
        <v>-130572.60000000006</v>
      </c>
      <c r="J35" s="53">
        <f t="shared" si="7"/>
        <v>-37487.8</v>
      </c>
      <c r="K35" s="44">
        <f>E35/B35*100</f>
        <v>61.86269193452071</v>
      </c>
      <c r="L35" s="44">
        <f>F35/C35*100</f>
        <v>53.62502188711892</v>
      </c>
      <c r="M35" s="18">
        <f>G35/D35*100</f>
        <v>55.420544854986375</v>
      </c>
      <c r="N35" s="49">
        <f t="shared" si="6"/>
        <v>61.86269193452071</v>
      </c>
      <c r="O35" s="52">
        <f t="shared" si="6"/>
        <v>53.62502188711892</v>
      </c>
      <c r="P35" s="55">
        <f t="shared" si="6"/>
        <v>55.420544854986375</v>
      </c>
      <c r="Q35" s="43"/>
    </row>
    <row r="36" spans="8:17" ht="12.75">
      <c r="H36" s="43"/>
      <c r="I36" s="43"/>
      <c r="J36" s="43"/>
      <c r="Q36" s="43"/>
    </row>
    <row r="37" spans="1:16" ht="12.75">
      <c r="A37" t="s">
        <v>44</v>
      </c>
      <c r="B37" s="58"/>
      <c r="C37" s="58"/>
      <c r="D37" s="5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2:8" ht="12.75">
      <c r="B38" s="43"/>
      <c r="C38" s="43"/>
      <c r="D38" s="43"/>
      <c r="E38" s="43"/>
      <c r="F38" s="43"/>
      <c r="G38" s="43"/>
      <c r="H38" s="43"/>
    </row>
    <row r="39" ht="12.75">
      <c r="E39" s="50"/>
    </row>
    <row r="41" spans="6:8" ht="12.75">
      <c r="F41" s="43"/>
      <c r="H41" s="43"/>
    </row>
  </sheetData>
  <sheetProtection/>
  <mergeCells count="6">
    <mergeCell ref="A2:P2"/>
    <mergeCell ref="B4:D4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zoomScalePageLayoutView="0" workbookViewId="0" topLeftCell="A10">
      <selection activeCell="A10" sqref="A1:IV16384"/>
    </sheetView>
  </sheetViews>
  <sheetFormatPr defaultColWidth="9.00390625" defaultRowHeight="12.75"/>
  <cols>
    <col min="1" max="1" width="32.75390625" style="0" customWidth="1"/>
    <col min="2" max="2" width="11.125" style="0" customWidth="1"/>
    <col min="3" max="4" width="9.875" style="0" customWidth="1"/>
    <col min="5" max="5" width="12.125" style="0" customWidth="1"/>
    <col min="6" max="6" width="10.00390625" style="0" customWidth="1"/>
    <col min="7" max="7" width="10.125" style="0" customWidth="1"/>
    <col min="8" max="8" width="11.375" style="0" customWidth="1"/>
    <col min="9" max="9" width="10.625" style="0" customWidth="1"/>
    <col min="10" max="10" width="10.125" style="0" customWidth="1"/>
    <col min="11" max="12" width="9.25390625" style="0" hidden="1" customWidth="1"/>
    <col min="13" max="13" width="0.6171875" style="0" hidden="1" customWidth="1"/>
    <col min="14" max="14" width="10.75390625" style="0" customWidth="1"/>
    <col min="15" max="15" width="10.25390625" style="0" customWidth="1"/>
    <col min="16" max="16" width="9.75390625" style="0" customWidth="1"/>
    <col min="17" max="17" width="11.625" style="0" customWidth="1"/>
  </cols>
  <sheetData>
    <row r="2" spans="1:16" ht="18.75" customHeight="1">
      <c r="A2" s="62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4" spans="1:16" ht="15.75">
      <c r="A4" s="2" t="s">
        <v>12</v>
      </c>
      <c r="B4" s="64" t="s">
        <v>38</v>
      </c>
      <c r="C4" s="65"/>
      <c r="D4" s="66"/>
      <c r="E4" s="64" t="s">
        <v>34</v>
      </c>
      <c r="F4" s="65"/>
      <c r="G4" s="66"/>
      <c r="H4" s="64" t="s">
        <v>35</v>
      </c>
      <c r="I4" s="65"/>
      <c r="J4" s="66"/>
      <c r="K4" s="64" t="s">
        <v>27</v>
      </c>
      <c r="L4" s="65"/>
      <c r="M4" s="66"/>
      <c r="N4" s="64" t="s">
        <v>27</v>
      </c>
      <c r="O4" s="65"/>
      <c r="P4" s="66"/>
    </row>
    <row r="5" spans="1:16" ht="29.25" customHeight="1">
      <c r="A5" s="3"/>
      <c r="B5" s="1" t="s">
        <v>25</v>
      </c>
      <c r="C5" s="1" t="s">
        <v>26</v>
      </c>
      <c r="D5" s="5" t="s">
        <v>28</v>
      </c>
      <c r="E5" s="1" t="s">
        <v>25</v>
      </c>
      <c r="F5" s="1" t="s">
        <v>26</v>
      </c>
      <c r="G5" s="1" t="s">
        <v>28</v>
      </c>
      <c r="H5" s="1" t="s">
        <v>25</v>
      </c>
      <c r="I5" s="1" t="s">
        <v>26</v>
      </c>
      <c r="J5" s="1" t="s">
        <v>28</v>
      </c>
      <c r="K5" s="1" t="s">
        <v>25</v>
      </c>
      <c r="L5" s="1" t="s">
        <v>26</v>
      </c>
      <c r="M5" s="1" t="s">
        <v>28</v>
      </c>
      <c r="N5" s="1" t="s">
        <v>25</v>
      </c>
      <c r="O5" s="1" t="s">
        <v>26</v>
      </c>
      <c r="P5" s="1" t="s">
        <v>28</v>
      </c>
    </row>
    <row r="6" spans="1:16" ht="12.75">
      <c r="A6" s="5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11</v>
      </c>
      <c r="O6" s="4">
        <v>12</v>
      </c>
      <c r="P6" s="4">
        <v>13</v>
      </c>
    </row>
    <row r="7" spans="1:19" ht="13.5" customHeight="1">
      <c r="A7" s="7" t="s">
        <v>0</v>
      </c>
      <c r="B7" s="36">
        <v>241658.6</v>
      </c>
      <c r="C7" s="20">
        <v>80380.1</v>
      </c>
      <c r="D7" s="29">
        <v>9805.4</v>
      </c>
      <c r="E7" s="36">
        <v>159803.9</v>
      </c>
      <c r="F7" s="20">
        <v>51280.7</v>
      </c>
      <c r="G7" s="29">
        <v>7451.7</v>
      </c>
      <c r="H7" s="36">
        <f>E7-B7</f>
        <v>-81854.70000000001</v>
      </c>
      <c r="I7" s="20">
        <f>F7-C7</f>
        <v>-29099.40000000001</v>
      </c>
      <c r="J7" s="29">
        <f>G7-D7</f>
        <v>-2353.7</v>
      </c>
      <c r="K7" s="15">
        <f aca="true" t="shared" si="0" ref="K7:M9">E7/B7*100</f>
        <v>66.12795902980486</v>
      </c>
      <c r="L7" s="15">
        <f t="shared" si="0"/>
        <v>63.797755912222044</v>
      </c>
      <c r="M7" s="15">
        <f t="shared" si="0"/>
        <v>75.99587982132294</v>
      </c>
      <c r="N7" s="36">
        <f>E7/B7*100</f>
        <v>66.12795902980486</v>
      </c>
      <c r="O7" s="20">
        <f>F7/C7*100</f>
        <v>63.797755912222044</v>
      </c>
      <c r="P7" s="29">
        <f>G7/D7*100</f>
        <v>75.99587982132294</v>
      </c>
      <c r="Q7" s="43"/>
      <c r="R7" s="43"/>
      <c r="S7" s="43"/>
    </row>
    <row r="8" spans="1:17" ht="12.75">
      <c r="A8" s="7" t="s">
        <v>23</v>
      </c>
      <c r="B8" s="36">
        <v>5739.9</v>
      </c>
      <c r="C8" s="20">
        <v>3709.7</v>
      </c>
      <c r="D8" s="29">
        <v>3351.8</v>
      </c>
      <c r="E8" s="36">
        <v>4408.4</v>
      </c>
      <c r="F8" s="20">
        <v>3066.3</v>
      </c>
      <c r="G8" s="29">
        <v>2800.7</v>
      </c>
      <c r="H8" s="36">
        <f aca="true" t="shared" si="1" ref="H8:J29">E8-B8</f>
        <v>-1331.5</v>
      </c>
      <c r="I8" s="20">
        <f t="shared" si="1"/>
        <v>-643.3999999999996</v>
      </c>
      <c r="J8" s="29">
        <f t="shared" si="1"/>
        <v>-551.1000000000004</v>
      </c>
      <c r="K8" s="15">
        <f t="shared" si="0"/>
        <v>76.80273175490862</v>
      </c>
      <c r="L8" s="15">
        <f t="shared" si="0"/>
        <v>82.65627948351619</v>
      </c>
      <c r="M8" s="15">
        <f t="shared" si="0"/>
        <v>83.55808819141953</v>
      </c>
      <c r="N8" s="36">
        <f aca="true" t="shared" si="2" ref="N8:P27">E8/B8*100</f>
        <v>76.80273175490862</v>
      </c>
      <c r="O8" s="20">
        <f t="shared" si="2"/>
        <v>82.65627948351619</v>
      </c>
      <c r="P8" s="29">
        <f t="shared" si="2"/>
        <v>83.55808819141953</v>
      </c>
      <c r="Q8" s="43"/>
    </row>
    <row r="9" spans="1:17" ht="15.75" customHeight="1">
      <c r="A9" s="7" t="s">
        <v>1</v>
      </c>
      <c r="B9" s="36">
        <v>21178.8</v>
      </c>
      <c r="C9" s="20">
        <v>2150</v>
      </c>
      <c r="D9" s="29">
        <v>169.5</v>
      </c>
      <c r="E9" s="36">
        <v>12598.1</v>
      </c>
      <c r="F9" s="20">
        <v>1314.1</v>
      </c>
      <c r="G9" s="29">
        <v>85.7</v>
      </c>
      <c r="H9" s="36">
        <f t="shared" si="1"/>
        <v>-8580.699999999999</v>
      </c>
      <c r="I9" s="20">
        <f t="shared" si="1"/>
        <v>-835.9000000000001</v>
      </c>
      <c r="J9" s="29">
        <f t="shared" si="1"/>
        <v>-83.8</v>
      </c>
      <c r="K9" s="15">
        <f t="shared" si="0"/>
        <v>59.48448448448449</v>
      </c>
      <c r="L9" s="15">
        <f t="shared" si="0"/>
        <v>61.12093023255814</v>
      </c>
      <c r="M9" s="15">
        <f t="shared" si="0"/>
        <v>50.560471976401175</v>
      </c>
      <c r="N9" s="36">
        <f t="shared" si="2"/>
        <v>59.48448448448449</v>
      </c>
      <c r="O9" s="20">
        <f t="shared" si="2"/>
        <v>61.12093023255814</v>
      </c>
      <c r="P9" s="29">
        <f t="shared" si="2"/>
        <v>50.560471976401175</v>
      </c>
      <c r="Q9" s="43"/>
    </row>
    <row r="10" spans="1:17" ht="15" customHeight="1">
      <c r="A10" s="7" t="s">
        <v>2</v>
      </c>
      <c r="B10" s="36">
        <v>0</v>
      </c>
      <c r="C10" s="20">
        <v>190</v>
      </c>
      <c r="D10" s="29">
        <v>10</v>
      </c>
      <c r="E10" s="36"/>
      <c r="F10" s="20">
        <v>814.7</v>
      </c>
      <c r="G10" s="29">
        <v>17.5</v>
      </c>
      <c r="H10" s="36">
        <f t="shared" si="1"/>
        <v>0</v>
      </c>
      <c r="I10" s="20">
        <f t="shared" si="1"/>
        <v>624.7</v>
      </c>
      <c r="J10" s="29">
        <f t="shared" si="1"/>
        <v>7.5</v>
      </c>
      <c r="K10" s="15">
        <v>0</v>
      </c>
      <c r="L10" s="15">
        <f>F10/C10*100</f>
        <v>428.7894736842105</v>
      </c>
      <c r="M10" s="15">
        <f>G10/D10*100</f>
        <v>175</v>
      </c>
      <c r="N10" s="36">
        <v>0</v>
      </c>
      <c r="O10" s="20">
        <f t="shared" si="2"/>
        <v>428.7894736842105</v>
      </c>
      <c r="P10" s="29">
        <f t="shared" si="2"/>
        <v>175</v>
      </c>
      <c r="Q10" s="43"/>
    </row>
    <row r="11" spans="1:17" ht="24" customHeight="1">
      <c r="A11" s="7" t="s">
        <v>22</v>
      </c>
      <c r="B11" s="36">
        <v>890.4</v>
      </c>
      <c r="C11" s="20">
        <v>0</v>
      </c>
      <c r="D11" s="29">
        <v>0</v>
      </c>
      <c r="E11" s="36">
        <v>671.1</v>
      </c>
      <c r="F11" s="20">
        <v>0</v>
      </c>
      <c r="G11" s="29">
        <v>0</v>
      </c>
      <c r="H11" s="36">
        <f t="shared" si="1"/>
        <v>-219.29999999999995</v>
      </c>
      <c r="I11" s="20">
        <f t="shared" si="1"/>
        <v>0</v>
      </c>
      <c r="J11" s="29">
        <f t="shared" si="1"/>
        <v>0</v>
      </c>
      <c r="K11" s="15">
        <f>E11/B11*100</f>
        <v>75.37061994609164</v>
      </c>
      <c r="L11" s="15">
        <v>0</v>
      </c>
      <c r="M11" s="15">
        <v>0</v>
      </c>
      <c r="N11" s="36">
        <f t="shared" si="2"/>
        <v>75.37061994609164</v>
      </c>
      <c r="O11" s="20">
        <v>0</v>
      </c>
      <c r="P11" s="29">
        <v>0</v>
      </c>
      <c r="Q11" s="43"/>
    </row>
    <row r="12" spans="1:17" ht="14.25" customHeight="1">
      <c r="A12" s="57" t="s">
        <v>16</v>
      </c>
      <c r="B12" s="36">
        <v>0</v>
      </c>
      <c r="C12" s="20">
        <v>23723.4</v>
      </c>
      <c r="D12" s="29">
        <v>3200</v>
      </c>
      <c r="E12" s="36">
        <v>0</v>
      </c>
      <c r="F12" s="20">
        <v>8493.9</v>
      </c>
      <c r="G12" s="29">
        <v>1148</v>
      </c>
      <c r="H12" s="36">
        <f t="shared" si="1"/>
        <v>0</v>
      </c>
      <c r="I12" s="20">
        <f t="shared" si="1"/>
        <v>-15229.500000000002</v>
      </c>
      <c r="J12" s="29">
        <f t="shared" si="1"/>
        <v>-2052</v>
      </c>
      <c r="K12" s="15">
        <v>0</v>
      </c>
      <c r="L12" s="15">
        <f aca="true" t="shared" si="3" ref="L12:M15">F12/C12*100</f>
        <v>35.80388983029414</v>
      </c>
      <c r="M12" s="15">
        <f t="shared" si="3"/>
        <v>35.875</v>
      </c>
      <c r="N12" s="36">
        <v>0</v>
      </c>
      <c r="O12" s="20">
        <f t="shared" si="2"/>
        <v>35.80388983029414</v>
      </c>
      <c r="P12" s="29">
        <f t="shared" si="2"/>
        <v>35.875</v>
      </c>
      <c r="Q12" s="43"/>
    </row>
    <row r="13" spans="1:17" ht="15" customHeight="1">
      <c r="A13" s="7" t="s">
        <v>18</v>
      </c>
      <c r="B13" s="36">
        <v>7336.8</v>
      </c>
      <c r="C13" s="20">
        <v>7800</v>
      </c>
      <c r="D13" s="29">
        <v>139.9</v>
      </c>
      <c r="E13" s="36">
        <v>5395.8</v>
      </c>
      <c r="F13" s="26">
        <v>5313.3</v>
      </c>
      <c r="G13" s="35">
        <v>82.5</v>
      </c>
      <c r="H13" s="36">
        <f t="shared" si="1"/>
        <v>-1941</v>
      </c>
      <c r="I13" s="20">
        <f t="shared" si="1"/>
        <v>-2486.7</v>
      </c>
      <c r="J13" s="29">
        <f t="shared" si="1"/>
        <v>-57.400000000000006</v>
      </c>
      <c r="K13" s="15">
        <f>E13/B13*100</f>
        <v>73.54432450114491</v>
      </c>
      <c r="L13" s="15">
        <f t="shared" si="3"/>
        <v>68.11923076923078</v>
      </c>
      <c r="M13" s="15">
        <f t="shared" si="3"/>
        <v>58.97069335239456</v>
      </c>
      <c r="N13" s="36">
        <f t="shared" si="2"/>
        <v>73.54432450114491</v>
      </c>
      <c r="O13" s="20">
        <f t="shared" si="2"/>
        <v>68.11923076923078</v>
      </c>
      <c r="P13" s="29">
        <f t="shared" si="2"/>
        <v>58.97069335239456</v>
      </c>
      <c r="Q13" s="43"/>
    </row>
    <row r="14" spans="1:17" ht="15" customHeight="1">
      <c r="A14" s="57" t="s">
        <v>19</v>
      </c>
      <c r="B14" s="36">
        <v>24387</v>
      </c>
      <c r="C14" s="20">
        <v>18500</v>
      </c>
      <c r="D14" s="29">
        <v>2650.7</v>
      </c>
      <c r="E14" s="36">
        <v>10682</v>
      </c>
      <c r="F14" s="20">
        <v>9142.8</v>
      </c>
      <c r="G14" s="35">
        <v>1539.2</v>
      </c>
      <c r="H14" s="36">
        <f t="shared" si="1"/>
        <v>-13705</v>
      </c>
      <c r="I14" s="20">
        <f t="shared" si="1"/>
        <v>-9357.2</v>
      </c>
      <c r="J14" s="29">
        <f t="shared" si="1"/>
        <v>-1111.4999999999998</v>
      </c>
      <c r="K14" s="15">
        <f>E14/B14*100</f>
        <v>43.80202566941403</v>
      </c>
      <c r="L14" s="15">
        <f t="shared" si="3"/>
        <v>49.420540540540536</v>
      </c>
      <c r="M14" s="15">
        <f t="shared" si="3"/>
        <v>58.067680235409526</v>
      </c>
      <c r="N14" s="36">
        <f t="shared" si="2"/>
        <v>43.80202566941403</v>
      </c>
      <c r="O14" s="20">
        <f t="shared" si="2"/>
        <v>49.420540540540536</v>
      </c>
      <c r="P14" s="29">
        <f t="shared" si="2"/>
        <v>58.067680235409526</v>
      </c>
      <c r="Q14" s="43"/>
    </row>
    <row r="15" spans="1:17" ht="15.75" customHeight="1">
      <c r="A15" s="7" t="s">
        <v>8</v>
      </c>
      <c r="B15" s="36">
        <v>0</v>
      </c>
      <c r="C15" s="20">
        <v>55210</v>
      </c>
      <c r="D15" s="29">
        <v>14593.6</v>
      </c>
      <c r="E15" s="36">
        <v>0</v>
      </c>
      <c r="F15" s="20">
        <v>37351.9</v>
      </c>
      <c r="G15" s="29">
        <v>8348.5</v>
      </c>
      <c r="H15" s="36">
        <f t="shared" si="1"/>
        <v>0</v>
      </c>
      <c r="I15" s="20">
        <f t="shared" si="1"/>
        <v>-17858.1</v>
      </c>
      <c r="J15" s="29">
        <f t="shared" si="1"/>
        <v>-6245.1</v>
      </c>
      <c r="K15" s="15">
        <v>0</v>
      </c>
      <c r="L15" s="15">
        <f t="shared" si="3"/>
        <v>67.6542293062851</v>
      </c>
      <c r="M15" s="15">
        <f t="shared" si="3"/>
        <v>57.20658370792676</v>
      </c>
      <c r="N15" s="36">
        <v>0</v>
      </c>
      <c r="O15" s="20">
        <f t="shared" si="2"/>
        <v>67.6542293062851</v>
      </c>
      <c r="P15" s="29">
        <f t="shared" si="2"/>
        <v>57.20658370792676</v>
      </c>
      <c r="Q15" s="43"/>
    </row>
    <row r="16" spans="1:17" ht="15" customHeight="1">
      <c r="A16" s="7" t="s">
        <v>3</v>
      </c>
      <c r="B16" s="36">
        <v>9512.8</v>
      </c>
      <c r="C16" s="20">
        <v>0</v>
      </c>
      <c r="D16" s="29">
        <v>63.5</v>
      </c>
      <c r="E16" s="36">
        <v>6996</v>
      </c>
      <c r="F16" s="20">
        <v>0</v>
      </c>
      <c r="G16" s="29">
        <v>32.6</v>
      </c>
      <c r="H16" s="36">
        <f t="shared" si="1"/>
        <v>-2516.7999999999993</v>
      </c>
      <c r="I16" s="20">
        <f t="shared" si="1"/>
        <v>0</v>
      </c>
      <c r="J16" s="29">
        <f t="shared" si="1"/>
        <v>-30.9</v>
      </c>
      <c r="K16" s="15">
        <f>E16/B16*100</f>
        <v>73.54301572617948</v>
      </c>
      <c r="L16" s="15">
        <v>0</v>
      </c>
      <c r="M16" s="15">
        <f>G16/D16*100</f>
        <v>51.338582677165356</v>
      </c>
      <c r="N16" s="36">
        <f t="shared" si="2"/>
        <v>73.54301572617948</v>
      </c>
      <c r="O16" s="20">
        <v>0</v>
      </c>
      <c r="P16" s="29">
        <f t="shared" si="2"/>
        <v>51.338582677165356</v>
      </c>
      <c r="Q16" s="43"/>
    </row>
    <row r="17" spans="1:17" ht="15" customHeight="1">
      <c r="A17" s="59" t="s">
        <v>33</v>
      </c>
      <c r="B17" s="36">
        <v>0</v>
      </c>
      <c r="C17" s="20">
        <v>0</v>
      </c>
      <c r="D17" s="29">
        <v>0</v>
      </c>
      <c r="E17" s="36">
        <v>0</v>
      </c>
      <c r="F17" s="20">
        <v>0</v>
      </c>
      <c r="G17" s="29">
        <v>0</v>
      </c>
      <c r="H17" s="36">
        <f t="shared" si="1"/>
        <v>0</v>
      </c>
      <c r="I17" s="20">
        <f t="shared" si="1"/>
        <v>0</v>
      </c>
      <c r="J17" s="29">
        <f t="shared" si="1"/>
        <v>0</v>
      </c>
      <c r="K17" s="15">
        <v>0</v>
      </c>
      <c r="L17" s="15">
        <v>0</v>
      </c>
      <c r="M17" s="15">
        <v>0</v>
      </c>
      <c r="N17" s="36">
        <v>0</v>
      </c>
      <c r="O17" s="20">
        <v>0</v>
      </c>
      <c r="P17" s="29">
        <v>0</v>
      </c>
      <c r="Q17" s="43"/>
    </row>
    <row r="18" spans="1:17" ht="16.5" customHeight="1">
      <c r="A18" s="59" t="s">
        <v>13</v>
      </c>
      <c r="B18" s="36">
        <v>47768</v>
      </c>
      <c r="C18" s="20">
        <f>14600+454</f>
        <v>15054</v>
      </c>
      <c r="D18" s="29">
        <v>0</v>
      </c>
      <c r="E18" s="36">
        <v>34470.8</v>
      </c>
      <c r="F18" s="20">
        <v>12607.9</v>
      </c>
      <c r="G18" s="29">
        <v>9.5</v>
      </c>
      <c r="H18" s="36">
        <f t="shared" si="1"/>
        <v>-13297.199999999997</v>
      </c>
      <c r="I18" s="20">
        <f t="shared" si="1"/>
        <v>-2446.1000000000004</v>
      </c>
      <c r="J18" s="29">
        <f t="shared" si="1"/>
        <v>9.5</v>
      </c>
      <c r="K18" s="15">
        <f aca="true" t="shared" si="4" ref="K18:L27">E18/B18*100</f>
        <v>72.16295427901525</v>
      </c>
      <c r="L18" s="15">
        <f t="shared" si="4"/>
        <v>83.75116248173244</v>
      </c>
      <c r="M18" s="15">
        <v>0</v>
      </c>
      <c r="N18" s="36">
        <f t="shared" si="2"/>
        <v>72.16295427901525</v>
      </c>
      <c r="O18" s="20">
        <f t="shared" si="2"/>
        <v>83.75116248173244</v>
      </c>
      <c r="P18" s="29">
        <v>0</v>
      </c>
      <c r="Q18" s="43"/>
    </row>
    <row r="19" spans="1:17" ht="15" customHeight="1">
      <c r="A19" s="57" t="s">
        <v>4</v>
      </c>
      <c r="B19" s="36">
        <v>4500</v>
      </c>
      <c r="C19" s="20">
        <v>2782</v>
      </c>
      <c r="D19" s="29">
        <v>548.8</v>
      </c>
      <c r="E19" s="36">
        <v>3771.7</v>
      </c>
      <c r="F19" s="20">
        <v>2049.8</v>
      </c>
      <c r="G19" s="29">
        <v>287.2</v>
      </c>
      <c r="H19" s="36">
        <f t="shared" si="1"/>
        <v>-728.3000000000002</v>
      </c>
      <c r="I19" s="20">
        <f t="shared" si="1"/>
        <v>-732.1999999999998</v>
      </c>
      <c r="J19" s="29">
        <f t="shared" si="1"/>
        <v>-261.59999999999997</v>
      </c>
      <c r="K19" s="15">
        <f t="shared" si="4"/>
        <v>83.81555555555555</v>
      </c>
      <c r="L19" s="15">
        <f t="shared" si="4"/>
        <v>73.68080517613228</v>
      </c>
      <c r="M19" s="15">
        <f>G19/D19*100</f>
        <v>52.332361516034986</v>
      </c>
      <c r="N19" s="36">
        <f t="shared" si="2"/>
        <v>83.81555555555555</v>
      </c>
      <c r="O19" s="20">
        <f t="shared" si="2"/>
        <v>73.68080517613228</v>
      </c>
      <c r="P19" s="29">
        <f t="shared" si="2"/>
        <v>52.332361516034986</v>
      </c>
      <c r="Q19" s="43"/>
    </row>
    <row r="20" spans="1:17" ht="27" customHeight="1">
      <c r="A20" s="59" t="s">
        <v>24</v>
      </c>
      <c r="B20" s="36">
        <f>667+101.6</f>
        <v>768.6</v>
      </c>
      <c r="C20" s="20">
        <f>235.8+2944.5</f>
        <v>3180.3</v>
      </c>
      <c r="D20" s="29">
        <v>15</v>
      </c>
      <c r="E20" s="36">
        <f>83.2+465</f>
        <v>548.2</v>
      </c>
      <c r="F20" s="20">
        <f>1801.1+75.4</f>
        <v>1876.5</v>
      </c>
      <c r="G20" s="29">
        <v>15</v>
      </c>
      <c r="H20" s="36">
        <f t="shared" si="1"/>
        <v>-220.39999999999998</v>
      </c>
      <c r="I20" s="20">
        <f t="shared" si="1"/>
        <v>-1303.8000000000002</v>
      </c>
      <c r="J20" s="29">
        <f t="shared" si="1"/>
        <v>0</v>
      </c>
      <c r="K20" s="15">
        <f t="shared" si="4"/>
        <v>71.32448607858444</v>
      </c>
      <c r="L20" s="15">
        <f t="shared" si="4"/>
        <v>59.00386755966418</v>
      </c>
      <c r="M20" s="15">
        <v>0</v>
      </c>
      <c r="N20" s="36">
        <f t="shared" si="2"/>
        <v>71.32448607858444</v>
      </c>
      <c r="O20" s="20">
        <f t="shared" si="2"/>
        <v>59.00386755966418</v>
      </c>
      <c r="P20" s="29">
        <v>0</v>
      </c>
      <c r="Q20" s="43"/>
    </row>
    <row r="21" spans="1:17" ht="16.5" customHeight="1">
      <c r="A21" s="57" t="s">
        <v>5</v>
      </c>
      <c r="B21" s="36">
        <v>6866</v>
      </c>
      <c r="C21" s="20">
        <v>0</v>
      </c>
      <c r="D21" s="29">
        <v>0</v>
      </c>
      <c r="E21" s="36">
        <v>2874.8</v>
      </c>
      <c r="F21" s="20">
        <v>0</v>
      </c>
      <c r="G21" s="29">
        <v>0</v>
      </c>
      <c r="H21" s="36">
        <f t="shared" si="1"/>
        <v>-3991.2</v>
      </c>
      <c r="I21" s="20">
        <f t="shared" si="1"/>
        <v>0</v>
      </c>
      <c r="J21" s="29">
        <f t="shared" si="1"/>
        <v>0</v>
      </c>
      <c r="K21" s="15">
        <f t="shared" si="4"/>
        <v>41.8700844742208</v>
      </c>
      <c r="L21" s="15">
        <v>0</v>
      </c>
      <c r="M21" s="15">
        <v>0</v>
      </c>
      <c r="N21" s="36">
        <f t="shared" si="2"/>
        <v>41.8700844742208</v>
      </c>
      <c r="O21" s="20">
        <v>0</v>
      </c>
      <c r="P21" s="29">
        <v>0</v>
      </c>
      <c r="Q21" s="43"/>
    </row>
    <row r="22" spans="1:17" ht="15.75" customHeight="1">
      <c r="A22" s="57" t="s">
        <v>20</v>
      </c>
      <c r="B22" s="36">
        <v>3680.7</v>
      </c>
      <c r="C22" s="20">
        <v>276.2</v>
      </c>
      <c r="D22" s="29">
        <v>0</v>
      </c>
      <c r="E22" s="36">
        <v>1624.2</v>
      </c>
      <c r="F22" s="20">
        <v>450</v>
      </c>
      <c r="G22" s="29">
        <v>51.7</v>
      </c>
      <c r="H22" s="36">
        <f t="shared" si="1"/>
        <v>-2056.5</v>
      </c>
      <c r="I22" s="20">
        <f t="shared" si="1"/>
        <v>173.8</v>
      </c>
      <c r="J22" s="29">
        <f t="shared" si="1"/>
        <v>51.7</v>
      </c>
      <c r="K22" s="15">
        <f t="shared" si="4"/>
        <v>44.12747575189503</v>
      </c>
      <c r="L22" s="15">
        <f>F22/C22*100</f>
        <v>162.92541636495295</v>
      </c>
      <c r="M22" s="15">
        <v>0</v>
      </c>
      <c r="N22" s="36">
        <f t="shared" si="2"/>
        <v>44.12747575189503</v>
      </c>
      <c r="O22" s="20">
        <f t="shared" si="2"/>
        <v>162.92541636495295</v>
      </c>
      <c r="P22" s="29">
        <v>0</v>
      </c>
      <c r="Q22" s="43"/>
    </row>
    <row r="23" spans="1:17" ht="15" customHeight="1">
      <c r="A23" s="57" t="s">
        <v>6</v>
      </c>
      <c r="B23" s="36">
        <v>103.5</v>
      </c>
      <c r="C23" s="20">
        <v>0</v>
      </c>
      <c r="D23" s="29">
        <v>0</v>
      </c>
      <c r="E23" s="36">
        <v>100.4</v>
      </c>
      <c r="F23" s="20">
        <v>0</v>
      </c>
      <c r="G23" s="29">
        <v>0</v>
      </c>
      <c r="H23" s="36">
        <f t="shared" si="1"/>
        <v>-3.0999999999999943</v>
      </c>
      <c r="I23" s="20">
        <f t="shared" si="1"/>
        <v>0</v>
      </c>
      <c r="J23" s="29">
        <f t="shared" si="1"/>
        <v>0</v>
      </c>
      <c r="K23" s="15">
        <f t="shared" si="4"/>
        <v>97.0048309178744</v>
      </c>
      <c r="L23" s="15" t="e">
        <f>F23/C23*100</f>
        <v>#DIV/0!</v>
      </c>
      <c r="M23" s="15">
        <v>0</v>
      </c>
      <c r="N23" s="36">
        <f t="shared" si="2"/>
        <v>97.0048309178744</v>
      </c>
      <c r="O23" s="20">
        <v>0</v>
      </c>
      <c r="P23" s="29">
        <v>0</v>
      </c>
      <c r="Q23" s="43"/>
    </row>
    <row r="24" spans="1:17" ht="15.75" customHeight="1">
      <c r="A24" s="57" t="s">
        <v>29</v>
      </c>
      <c r="B24" s="36">
        <v>1594</v>
      </c>
      <c r="C24" s="20">
        <v>7298.7</v>
      </c>
      <c r="D24" s="29">
        <v>2222.9</v>
      </c>
      <c r="E24" s="36">
        <v>135.5</v>
      </c>
      <c r="F24" s="20">
        <v>1115.9</v>
      </c>
      <c r="G24" s="29">
        <v>25.5</v>
      </c>
      <c r="H24" s="36">
        <f t="shared" si="1"/>
        <v>-1458.5</v>
      </c>
      <c r="I24" s="20">
        <f t="shared" si="1"/>
        <v>-6182.799999999999</v>
      </c>
      <c r="J24" s="29">
        <f t="shared" si="1"/>
        <v>-2197.4</v>
      </c>
      <c r="K24" s="15">
        <f t="shared" si="4"/>
        <v>8.500627352572145</v>
      </c>
      <c r="L24" s="15">
        <f>F24/C24*100</f>
        <v>15.289024072780085</v>
      </c>
      <c r="M24" s="15">
        <f>G24/D24*100</f>
        <v>1.1471501192136397</v>
      </c>
      <c r="N24" s="36">
        <v>0</v>
      </c>
      <c r="O24" s="20">
        <f t="shared" si="2"/>
        <v>15.289024072780085</v>
      </c>
      <c r="P24" s="29">
        <f t="shared" si="2"/>
        <v>1.1471501192136397</v>
      </c>
      <c r="Q24" s="43"/>
    </row>
    <row r="25" spans="1:17" ht="27" customHeight="1">
      <c r="A25" s="57" t="s">
        <v>17</v>
      </c>
      <c r="B25" s="36">
        <f>6772+374.2</f>
        <v>7146.2</v>
      </c>
      <c r="C25" s="20">
        <f>8349.3+385</f>
        <v>8734.3</v>
      </c>
      <c r="D25" s="29">
        <v>77.8</v>
      </c>
      <c r="E25" s="36">
        <f>6180.7+264.4</f>
        <v>6445.099999999999</v>
      </c>
      <c r="F25" s="20">
        <f>6821.9+108.8</f>
        <v>6930.7</v>
      </c>
      <c r="G25" s="29">
        <v>-130.1</v>
      </c>
      <c r="H25" s="36">
        <f t="shared" si="1"/>
        <v>-701.1000000000004</v>
      </c>
      <c r="I25" s="20">
        <f t="shared" si="1"/>
        <v>-1803.5999999999995</v>
      </c>
      <c r="J25" s="29">
        <f t="shared" si="1"/>
        <v>-207.89999999999998</v>
      </c>
      <c r="K25" s="15">
        <f t="shared" si="4"/>
        <v>90.18919145839746</v>
      </c>
      <c r="L25" s="15">
        <f>F25/C25*100</f>
        <v>79.35037724831984</v>
      </c>
      <c r="M25" s="15">
        <v>0</v>
      </c>
      <c r="N25" s="36">
        <f t="shared" si="2"/>
        <v>90.18919145839746</v>
      </c>
      <c r="O25" s="20">
        <f t="shared" si="2"/>
        <v>79.35037724831984</v>
      </c>
      <c r="P25" s="29">
        <v>0</v>
      </c>
      <c r="Q25" s="43"/>
    </row>
    <row r="26" spans="1:17" ht="16.5" customHeight="1">
      <c r="A26" s="7" t="s">
        <v>7</v>
      </c>
      <c r="B26" s="36">
        <v>12553.5</v>
      </c>
      <c r="C26" s="20">
        <f>297.2</f>
        <v>297.2</v>
      </c>
      <c r="D26" s="29">
        <v>60.9</v>
      </c>
      <c r="E26" s="48">
        <v>9541.1</v>
      </c>
      <c r="F26" s="26">
        <v>658.1</v>
      </c>
      <c r="G26" s="35">
        <v>155.6</v>
      </c>
      <c r="H26" s="36">
        <f t="shared" si="1"/>
        <v>-3012.3999999999996</v>
      </c>
      <c r="I26" s="20">
        <f t="shared" si="1"/>
        <v>360.90000000000003</v>
      </c>
      <c r="J26" s="29">
        <f t="shared" si="1"/>
        <v>94.69999999999999</v>
      </c>
      <c r="K26" s="15">
        <f t="shared" si="4"/>
        <v>76.00350499860596</v>
      </c>
      <c r="L26" s="15">
        <f>F26/C26*100</f>
        <v>221.43337819650068</v>
      </c>
      <c r="M26" s="15">
        <f>G26/D26*100</f>
        <v>255.5008210180624</v>
      </c>
      <c r="N26" s="36">
        <f t="shared" si="2"/>
        <v>76.00350499860596</v>
      </c>
      <c r="O26" s="20">
        <f t="shared" si="2"/>
        <v>221.43337819650068</v>
      </c>
      <c r="P26" s="29">
        <f t="shared" si="2"/>
        <v>255.5008210180624</v>
      </c>
      <c r="Q26" s="43"/>
    </row>
    <row r="27" spans="1:17" ht="14.25" customHeight="1">
      <c r="A27" s="7" t="s">
        <v>9</v>
      </c>
      <c r="B27" s="36">
        <v>135.5</v>
      </c>
      <c r="C27" s="20">
        <v>26.4</v>
      </c>
      <c r="D27" s="29">
        <f>74.6+279.6</f>
        <v>354.20000000000005</v>
      </c>
      <c r="E27" s="36">
        <v>96.5</v>
      </c>
      <c r="F27" s="20">
        <v>87.3</v>
      </c>
      <c r="G27" s="29">
        <f>46+154.3</f>
        <v>200.3</v>
      </c>
      <c r="H27" s="36">
        <f t="shared" si="1"/>
        <v>-39</v>
      </c>
      <c r="I27" s="20">
        <f t="shared" si="1"/>
        <v>60.9</v>
      </c>
      <c r="J27" s="29">
        <f t="shared" si="1"/>
        <v>-153.90000000000003</v>
      </c>
      <c r="K27" s="15">
        <f t="shared" si="4"/>
        <v>71.21771217712177</v>
      </c>
      <c r="L27" s="15">
        <v>0</v>
      </c>
      <c r="M27" s="15">
        <v>0</v>
      </c>
      <c r="N27" s="36">
        <f t="shared" si="2"/>
        <v>71.21771217712177</v>
      </c>
      <c r="O27" s="20">
        <v>0</v>
      </c>
      <c r="P27" s="29">
        <f t="shared" si="2"/>
        <v>56.549971767363076</v>
      </c>
      <c r="Q27" s="43"/>
    </row>
    <row r="28" spans="1:17" ht="16.5" customHeight="1" thickBot="1">
      <c r="A28" s="8" t="s">
        <v>10</v>
      </c>
      <c r="B28" s="37">
        <v>0</v>
      </c>
      <c r="C28" s="21">
        <v>0</v>
      </c>
      <c r="D28" s="30">
        <v>0</v>
      </c>
      <c r="E28" s="37">
        <v>-18.9</v>
      </c>
      <c r="F28" s="25">
        <v>0</v>
      </c>
      <c r="G28" s="34">
        <v>2.9</v>
      </c>
      <c r="H28" s="37">
        <f t="shared" si="1"/>
        <v>-18.9</v>
      </c>
      <c r="I28" s="21">
        <f t="shared" si="1"/>
        <v>0</v>
      </c>
      <c r="J28" s="30">
        <f t="shared" si="1"/>
        <v>2.9</v>
      </c>
      <c r="K28" s="16">
        <v>0</v>
      </c>
      <c r="L28" s="16">
        <v>0</v>
      </c>
      <c r="M28" s="16">
        <v>0</v>
      </c>
      <c r="N28" s="36">
        <v>0</v>
      </c>
      <c r="O28" s="20">
        <v>0</v>
      </c>
      <c r="P28" s="29">
        <v>0</v>
      </c>
      <c r="Q28" s="43"/>
    </row>
    <row r="29" spans="1:17" ht="15" customHeight="1" thickBot="1">
      <c r="A29" s="9" t="s">
        <v>14</v>
      </c>
      <c r="B29" s="38">
        <f>B7+B8+B9+B10+B11+B13+B12+B14+B15+B16+B17+B18+B19+B20+B21+B22+B23+B24+B25+B26+B27+B28</f>
        <v>395820.3</v>
      </c>
      <c r="C29" s="22">
        <f>SUM(C7:C28)</f>
        <v>229312.30000000002</v>
      </c>
      <c r="D29" s="31">
        <f>SUM(D7:D28)</f>
        <v>37264.00000000001</v>
      </c>
      <c r="E29" s="38">
        <f>SUM(E7:E28)</f>
        <v>260144.7</v>
      </c>
      <c r="F29" s="27">
        <f>SUM(F7:F28)</f>
        <v>142553.9</v>
      </c>
      <c r="G29" s="31">
        <f>SUM(G7:G28)</f>
        <v>22124.000000000004</v>
      </c>
      <c r="H29" s="51">
        <f t="shared" si="1"/>
        <v>-135675.59999999998</v>
      </c>
      <c r="I29" s="52">
        <f t="shared" si="1"/>
        <v>-86758.40000000002</v>
      </c>
      <c r="J29" s="53">
        <f t="shared" si="1"/>
        <v>-15140.000000000004</v>
      </c>
      <c r="K29" s="44">
        <f aca="true" t="shared" si="5" ref="K29:M32">E29/B29*100</f>
        <v>65.72293032974812</v>
      </c>
      <c r="L29" s="44">
        <f t="shared" si="5"/>
        <v>62.16583236049701</v>
      </c>
      <c r="M29" s="18">
        <f t="shared" si="5"/>
        <v>59.37097466723915</v>
      </c>
      <c r="N29" s="49">
        <f aca="true" t="shared" si="6" ref="N29:P35">E29/B29*100</f>
        <v>65.72293032974812</v>
      </c>
      <c r="O29" s="52">
        <f t="shared" si="6"/>
        <v>62.16583236049701</v>
      </c>
      <c r="P29" s="55">
        <f t="shared" si="6"/>
        <v>59.37097466723915</v>
      </c>
      <c r="Q29" s="43"/>
    </row>
    <row r="30" spans="1:17" ht="26.25" customHeight="1">
      <c r="A30" s="10" t="s">
        <v>21</v>
      </c>
      <c r="B30" s="39">
        <v>153075.8</v>
      </c>
      <c r="C30" s="23">
        <v>14436.5</v>
      </c>
      <c r="D30" s="32">
        <v>24984.9</v>
      </c>
      <c r="E30" s="39">
        <v>114806.9</v>
      </c>
      <c r="F30" s="23">
        <v>10827.5</v>
      </c>
      <c r="G30" s="32">
        <v>18403.5</v>
      </c>
      <c r="H30" s="39">
        <f aca="true" t="shared" si="7" ref="H30:J35">E30-B30</f>
        <v>-38268.899999999994</v>
      </c>
      <c r="I30" s="23">
        <f t="shared" si="7"/>
        <v>-3609</v>
      </c>
      <c r="J30" s="32">
        <f t="shared" si="7"/>
        <v>-6581.4000000000015</v>
      </c>
      <c r="K30" s="17">
        <f t="shared" si="5"/>
        <v>75.00003266355623</v>
      </c>
      <c r="L30" s="17">
        <f t="shared" si="5"/>
        <v>75.00086586083884</v>
      </c>
      <c r="M30" s="17">
        <f t="shared" si="5"/>
        <v>73.65848972779558</v>
      </c>
      <c r="N30" s="39">
        <f t="shared" si="6"/>
        <v>75.00003266355623</v>
      </c>
      <c r="O30" s="23">
        <f t="shared" si="6"/>
        <v>75.00086586083884</v>
      </c>
      <c r="P30" s="32">
        <f t="shared" si="6"/>
        <v>73.65848972779558</v>
      </c>
      <c r="Q30" s="43"/>
    </row>
    <row r="31" spans="1:17" ht="27.75" customHeight="1">
      <c r="A31" s="11" t="s">
        <v>32</v>
      </c>
      <c r="B31" s="36">
        <f>199827.8+608121.5+95322.7</f>
        <v>903272</v>
      </c>
      <c r="C31" s="20">
        <f>17977.1+1818+12125.8</f>
        <v>31920.899999999998</v>
      </c>
      <c r="D31" s="29">
        <f>5902.5+787.6+17245.3</f>
        <v>23935.4</v>
      </c>
      <c r="E31" s="36">
        <f>165702.6+459781.1+53172.1</f>
        <v>678655.7999999999</v>
      </c>
      <c r="F31" s="20">
        <f>17785.9+1551.3+3211.3</f>
        <v>22548.5</v>
      </c>
      <c r="G31" s="29">
        <f>3444.3+587.2+7291.8</f>
        <v>11323.3</v>
      </c>
      <c r="H31" s="36">
        <f>E31-B31</f>
        <v>-224616.20000000007</v>
      </c>
      <c r="I31" s="23">
        <f t="shared" si="7"/>
        <v>-9372.399999999998</v>
      </c>
      <c r="J31" s="32">
        <f t="shared" si="7"/>
        <v>-12612.100000000002</v>
      </c>
      <c r="K31" s="17">
        <f t="shared" si="5"/>
        <v>75.1330496240335</v>
      </c>
      <c r="L31" s="15">
        <f t="shared" si="5"/>
        <v>70.6386724685081</v>
      </c>
      <c r="M31" s="15">
        <f t="shared" si="5"/>
        <v>47.30775336948619</v>
      </c>
      <c r="N31" s="36">
        <f t="shared" si="6"/>
        <v>75.1330496240335</v>
      </c>
      <c r="O31" s="20">
        <f t="shared" si="6"/>
        <v>70.6386724685081</v>
      </c>
      <c r="P31" s="29">
        <f t="shared" si="6"/>
        <v>47.30775336948619</v>
      </c>
      <c r="Q31" s="43"/>
    </row>
    <row r="32" spans="1:17" ht="18" customHeight="1" thickBot="1">
      <c r="A32" s="12" t="s">
        <v>11</v>
      </c>
      <c r="B32" s="37">
        <v>183.2</v>
      </c>
      <c r="C32" s="21">
        <v>196.3</v>
      </c>
      <c r="D32" s="30">
        <v>713.6</v>
      </c>
      <c r="E32" s="60">
        <v>183.2</v>
      </c>
      <c r="F32" s="21">
        <v>197.7</v>
      </c>
      <c r="G32" s="30">
        <v>713.6</v>
      </c>
      <c r="H32" s="37">
        <f>E34-B32</f>
        <v>-3350.2</v>
      </c>
      <c r="I32" s="25">
        <f t="shared" si="7"/>
        <v>1.3999999999999773</v>
      </c>
      <c r="J32" s="34">
        <f t="shared" si="7"/>
        <v>0</v>
      </c>
      <c r="K32" s="19">
        <f>E34/B32*100</f>
        <v>-1728.7117903930132</v>
      </c>
      <c r="L32" s="16">
        <v>0</v>
      </c>
      <c r="M32" s="16">
        <f t="shared" si="5"/>
        <v>100</v>
      </c>
      <c r="N32" s="36">
        <f>E34/B32*100</f>
        <v>-1728.7117903930132</v>
      </c>
      <c r="O32" s="20">
        <f t="shared" si="6"/>
        <v>100.71319409067752</v>
      </c>
      <c r="P32" s="29">
        <f t="shared" si="6"/>
        <v>100</v>
      </c>
      <c r="Q32" s="43"/>
    </row>
    <row r="33" spans="1:17" ht="14.25" customHeight="1" thickBot="1">
      <c r="A33" s="13" t="s">
        <v>31</v>
      </c>
      <c r="B33" s="40">
        <f aca="true" t="shared" si="8" ref="B33:H33">SUM(B30:B32)</f>
        <v>1056531</v>
      </c>
      <c r="C33" s="24">
        <f t="shared" si="8"/>
        <v>46553.7</v>
      </c>
      <c r="D33" s="33">
        <f t="shared" si="8"/>
        <v>49633.9</v>
      </c>
      <c r="E33" s="40">
        <f>SUM(E30:E32)</f>
        <v>793645.8999999999</v>
      </c>
      <c r="F33" s="24">
        <f t="shared" si="8"/>
        <v>33573.7</v>
      </c>
      <c r="G33" s="33">
        <f t="shared" si="8"/>
        <v>30440.399999999998</v>
      </c>
      <c r="H33" s="61">
        <f t="shared" si="8"/>
        <v>-266235.3000000001</v>
      </c>
      <c r="I33" s="52">
        <f t="shared" si="7"/>
        <v>-12980</v>
      </c>
      <c r="J33" s="53">
        <f t="shared" si="7"/>
        <v>-19193.500000000004</v>
      </c>
      <c r="K33" s="56">
        <f>E33/B33*100</f>
        <v>75.11808929411441</v>
      </c>
      <c r="L33" s="18">
        <f>F33/C33*100</f>
        <v>72.11822046367958</v>
      </c>
      <c r="M33" s="18">
        <f>G33/D33*100</f>
        <v>61.32985721452474</v>
      </c>
      <c r="N33" s="49">
        <f t="shared" si="6"/>
        <v>75.11808929411441</v>
      </c>
      <c r="O33" s="52">
        <f t="shared" si="6"/>
        <v>72.11822046367958</v>
      </c>
      <c r="P33" s="55">
        <f t="shared" si="6"/>
        <v>61.32985721452474</v>
      </c>
      <c r="Q33" s="43"/>
    </row>
    <row r="34" spans="1:17" ht="27" customHeight="1" thickBot="1">
      <c r="A34" s="14" t="s">
        <v>30</v>
      </c>
      <c r="B34" s="41">
        <v>478.9</v>
      </c>
      <c r="C34" s="25">
        <v>6317.5</v>
      </c>
      <c r="D34" s="34">
        <v>81.6</v>
      </c>
      <c r="E34" s="37">
        <f>1897.8-5064.8</f>
        <v>-3167</v>
      </c>
      <c r="F34" s="25">
        <f>6333.9-1963.3</f>
        <v>4370.599999999999</v>
      </c>
      <c r="G34" s="34">
        <f>94.3-69.5</f>
        <v>24.799999999999997</v>
      </c>
      <c r="H34" s="37">
        <f>E36-B34</f>
        <v>-478.9</v>
      </c>
      <c r="I34" s="25">
        <f t="shared" si="7"/>
        <v>-1946.9000000000005</v>
      </c>
      <c r="J34" s="34">
        <f t="shared" si="7"/>
        <v>-56.8</v>
      </c>
      <c r="K34" s="45">
        <v>0</v>
      </c>
      <c r="L34" s="46">
        <v>0</v>
      </c>
      <c r="M34" s="47">
        <v>0</v>
      </c>
      <c r="N34" s="41">
        <v>0</v>
      </c>
      <c r="O34" s="25">
        <v>0</v>
      </c>
      <c r="P34" s="54">
        <v>0</v>
      </c>
      <c r="Q34" s="43"/>
    </row>
    <row r="35" spans="1:17" ht="15" customHeight="1" thickBot="1">
      <c r="A35" s="6" t="s">
        <v>15</v>
      </c>
      <c r="B35" s="40">
        <f aca="true" t="shared" si="9" ref="B35:G35">B29+B33+B34</f>
        <v>1452830.2</v>
      </c>
      <c r="C35" s="24">
        <f t="shared" si="9"/>
        <v>282183.5</v>
      </c>
      <c r="D35" s="33">
        <f t="shared" si="9"/>
        <v>86979.50000000001</v>
      </c>
      <c r="E35" s="40">
        <f t="shared" si="9"/>
        <v>1050623.5999999999</v>
      </c>
      <c r="F35" s="28">
        <f t="shared" si="9"/>
        <v>180498.19999999998</v>
      </c>
      <c r="G35" s="42">
        <f t="shared" si="9"/>
        <v>52589.200000000004</v>
      </c>
      <c r="H35" s="51">
        <f t="shared" si="7"/>
        <v>-402206.6000000001</v>
      </c>
      <c r="I35" s="52">
        <f t="shared" si="7"/>
        <v>-101685.30000000002</v>
      </c>
      <c r="J35" s="53">
        <f t="shared" si="7"/>
        <v>-34390.30000000001</v>
      </c>
      <c r="K35" s="44">
        <f>E35/B35*100</f>
        <v>72.31564982611182</v>
      </c>
      <c r="L35" s="44">
        <f>F35/C35*100</f>
        <v>63.964831395173704</v>
      </c>
      <c r="M35" s="18">
        <f>G35/D35*100</f>
        <v>60.46160302140159</v>
      </c>
      <c r="N35" s="49">
        <f t="shared" si="6"/>
        <v>72.31564982611182</v>
      </c>
      <c r="O35" s="52">
        <f t="shared" si="6"/>
        <v>63.964831395173704</v>
      </c>
      <c r="P35" s="55">
        <f t="shared" si="6"/>
        <v>60.46160302140159</v>
      </c>
      <c r="Q35" s="43"/>
    </row>
    <row r="36" spans="8:17" ht="12.75">
      <c r="H36" s="43"/>
      <c r="I36" s="43"/>
      <c r="J36" s="43"/>
      <c r="Q36" s="43"/>
    </row>
    <row r="37" spans="1:16" ht="12.75">
      <c r="A37" t="s">
        <v>44</v>
      </c>
      <c r="B37" s="58"/>
      <c r="C37" s="58"/>
      <c r="D37" s="5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2:8" ht="12.75">
      <c r="B38" s="43"/>
      <c r="C38" s="43"/>
      <c r="D38" s="43"/>
      <c r="E38" s="43"/>
      <c r="F38" s="43"/>
      <c r="G38" s="43"/>
      <c r="H38" s="43"/>
    </row>
    <row r="39" ht="12.75">
      <c r="E39" s="50"/>
    </row>
    <row r="41" spans="6:8" ht="12.75">
      <c r="F41" s="43"/>
      <c r="H41" s="43"/>
    </row>
  </sheetData>
  <sheetProtection/>
  <mergeCells count="6">
    <mergeCell ref="A2:P2"/>
    <mergeCell ref="B4:D4"/>
    <mergeCell ref="E4:G4"/>
    <mergeCell ref="H4:J4"/>
    <mergeCell ref="K4:M4"/>
    <mergeCell ref="N4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Malgina</dc:creator>
  <cp:keywords/>
  <dc:description/>
  <cp:lastModifiedBy>Yaroslavceva</cp:lastModifiedBy>
  <cp:lastPrinted>2018-12-13T04:23:03Z</cp:lastPrinted>
  <dcterms:created xsi:type="dcterms:W3CDTF">2008-01-15T04:36:49Z</dcterms:created>
  <dcterms:modified xsi:type="dcterms:W3CDTF">2018-12-13T04:30:23Z</dcterms:modified>
  <cp:category/>
  <cp:version/>
  <cp:contentType/>
  <cp:contentStatus/>
</cp:coreProperties>
</file>